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 activeTab="3"/>
  </bookViews>
  <sheets>
    <sheet name="Справочник" sheetId="3" r:id="rId1"/>
    <sheet name="Office 365 vs OVS" sheetId="1" r:id="rId2"/>
    <sheet name="Office 365 vs OV" sheetId="2" r:id="rId3"/>
    <sheet name="Office 365 vs OLP" sheetId="4" r:id="rId4"/>
    <sheet name="Communigate Pro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4" l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C31" i="2"/>
  <c r="E31" i="2" s="1"/>
  <c r="N17" i="4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B3" i="3"/>
  <c r="Q30" i="4" s="1"/>
  <c r="E13" i="4"/>
  <c r="E14" i="4"/>
  <c r="K18" i="4"/>
  <c r="K20" i="4"/>
  <c r="Q20" i="4" l="1"/>
  <c r="Q24" i="4"/>
  <c r="Q28" i="4"/>
  <c r="Q19" i="4"/>
  <c r="Q23" i="4"/>
  <c r="Q31" i="4"/>
  <c r="Q17" i="4"/>
  <c r="Q21" i="4"/>
  <c r="Q25" i="4"/>
  <c r="Q29" i="4"/>
  <c r="Q27" i="4"/>
  <c r="Q18" i="4"/>
  <c r="Q22" i="4"/>
  <c r="Q26" i="4"/>
  <c r="K30" i="4"/>
  <c r="M30" i="4"/>
  <c r="M31" i="4"/>
  <c r="P17" i="4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M18" i="4"/>
  <c r="M19" i="4"/>
  <c r="M21" i="4"/>
  <c r="M22" i="4"/>
  <c r="M23" i="4"/>
  <c r="M25" i="4"/>
  <c r="M26" i="4"/>
  <c r="M27" i="4"/>
  <c r="M29" i="4"/>
  <c r="M17" i="4"/>
  <c r="K24" i="4"/>
  <c r="K26" i="4"/>
  <c r="K28" i="4"/>
  <c r="K22" i="4"/>
  <c r="E21" i="2"/>
  <c r="E20" i="2"/>
  <c r="E3" i="5" l="1"/>
  <c r="F2" i="5"/>
  <c r="C2" i="5"/>
  <c r="F1" i="5"/>
  <c r="C1" i="5"/>
  <c r="F8" i="5"/>
  <c r="C8" i="5"/>
  <c r="E7" i="5"/>
  <c r="C7" i="5"/>
  <c r="C6" i="5"/>
  <c r="E6" i="5" s="1"/>
  <c r="C14" i="2"/>
  <c r="E14" i="2" s="1"/>
  <c r="C11" i="2"/>
  <c r="C7" i="4"/>
  <c r="E7" i="4" s="1"/>
  <c r="C6" i="4"/>
  <c r="E6" i="4" s="1"/>
  <c r="E12" i="4" s="1"/>
  <c r="C5" i="4"/>
  <c r="E5" i="4" s="1"/>
  <c r="E11" i="4" l="1"/>
  <c r="I17" i="4"/>
  <c r="I18" i="4" s="1"/>
  <c r="I19" i="4" s="1"/>
  <c r="I20" i="4" s="1"/>
  <c r="I21" i="4" s="1"/>
  <c r="I22" i="4" s="1"/>
  <c r="I23" i="4" s="1"/>
  <c r="I24" i="4" s="1"/>
  <c r="I25" i="4" s="1"/>
  <c r="I26" i="4" s="1"/>
  <c r="L17" i="4"/>
  <c r="L18" i="4" s="1"/>
  <c r="L19" i="4" s="1"/>
  <c r="K19" i="4"/>
  <c r="K17" i="4"/>
  <c r="J17" i="4" s="1"/>
  <c r="J18" i="4" s="1"/>
  <c r="J19" i="4" s="1"/>
  <c r="J20" i="4" s="1"/>
  <c r="M20" i="4"/>
  <c r="M24" i="4"/>
  <c r="M28" i="4"/>
  <c r="K31" i="4"/>
  <c r="K23" i="4"/>
  <c r="K27" i="4"/>
  <c r="K25" i="4"/>
  <c r="K29" i="4"/>
  <c r="K21" i="4"/>
  <c r="F6" i="5"/>
  <c r="E9" i="5"/>
  <c r="C25" i="2"/>
  <c r="E25" i="2" s="1"/>
  <c r="F25" i="2" s="1"/>
  <c r="E11" i="2"/>
  <c r="F11" i="2" s="1"/>
  <c r="F7" i="5"/>
  <c r="C7" i="2"/>
  <c r="E7" i="2" s="1"/>
  <c r="L20" i="4" l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J21" i="4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I27" i="4"/>
  <c r="I28" i="4" s="1"/>
  <c r="I29" i="4" s="1"/>
  <c r="I30" i="4" s="1"/>
  <c r="I31" i="4" s="1"/>
  <c r="E10" i="5"/>
  <c r="F9" i="5"/>
  <c r="E26" i="2"/>
  <c r="E28" i="2" l="1"/>
  <c r="E29" i="2" s="1"/>
  <c r="J32" i="2"/>
  <c r="J33" i="2" s="1"/>
  <c r="J34" i="2" s="1"/>
  <c r="J35" i="2" s="1"/>
  <c r="J36" i="2" s="1"/>
  <c r="J37" i="2" s="1"/>
  <c r="E27" i="2"/>
  <c r="F26" i="2"/>
  <c r="C41" i="1" l="1"/>
  <c r="F7" i="2"/>
  <c r="C8" i="2"/>
  <c r="C6" i="2"/>
  <c r="E6" i="2" s="1"/>
  <c r="F6" i="2" s="1"/>
  <c r="C4" i="2"/>
  <c r="E5" i="2"/>
  <c r="F5" i="2" s="1"/>
  <c r="E8" i="2" l="1"/>
  <c r="F8" i="2" s="1"/>
  <c r="E4" i="2"/>
  <c r="C63" i="1"/>
  <c r="C65" i="1"/>
  <c r="C67" i="1" s="1"/>
  <c r="C58" i="1"/>
  <c r="E9" i="2" l="1"/>
  <c r="H14" i="2" s="1"/>
  <c r="H16" i="2" s="1"/>
  <c r="H18" i="2" s="1"/>
  <c r="E12" i="2"/>
  <c r="E19" i="2" s="1"/>
  <c r="F4" i="2"/>
  <c r="C68" i="1"/>
  <c r="C69" i="1" s="1"/>
  <c r="F9" i="2" l="1"/>
  <c r="E18" i="2"/>
  <c r="F12" i="2"/>
  <c r="C71" i="1"/>
  <c r="C42" i="1"/>
  <c r="D53" i="1"/>
  <c r="C10" i="1"/>
  <c r="E10" i="1" s="1"/>
  <c r="F10" i="1" s="1"/>
  <c r="C9" i="1"/>
  <c r="E9" i="1" s="1"/>
  <c r="F9" i="1" s="1"/>
  <c r="C5" i="1"/>
  <c r="E5" i="1" s="1"/>
  <c r="F5" i="1" s="1"/>
  <c r="C31" i="1"/>
  <c r="C28" i="1"/>
  <c r="C29" i="1" s="1"/>
  <c r="C32" i="1" s="1"/>
  <c r="E32" i="1" s="1"/>
  <c r="C25" i="1"/>
  <c r="C26" i="1" s="1"/>
  <c r="E26" i="1" s="1"/>
  <c r="E16" i="1"/>
  <c r="E17" i="1"/>
  <c r="E18" i="1"/>
  <c r="E19" i="1"/>
  <c r="E15" i="1"/>
  <c r="E6" i="1"/>
  <c r="F6" i="1" s="1"/>
  <c r="E7" i="1"/>
  <c r="F7" i="1" s="1"/>
  <c r="E8" i="1"/>
  <c r="F8" i="1" s="1"/>
  <c r="E15" i="4" l="1"/>
  <c r="E22" i="2"/>
  <c r="E44" i="1"/>
  <c r="D54" i="1"/>
  <c r="D47" i="1"/>
  <c r="E34" i="1"/>
  <c r="E43" i="1"/>
  <c r="E22" i="1"/>
  <c r="E23" i="1" s="1"/>
  <c r="F23" i="1" s="1"/>
  <c r="D48" i="1"/>
  <c r="E11" i="1"/>
  <c r="F11" i="1" s="1"/>
  <c r="D55" i="1" l="1"/>
  <c r="D49" i="1"/>
  <c r="F49" i="1" s="1"/>
  <c r="D50" i="1"/>
  <c r="F50" i="1" s="1"/>
  <c r="D56" i="1"/>
  <c r="E36" i="1"/>
  <c r="C48" i="1" s="1"/>
  <c r="E48" i="1" s="1"/>
  <c r="C47" i="1" l="1"/>
  <c r="E47" i="1" s="1"/>
  <c r="E37" i="1"/>
  <c r="C54" i="1"/>
  <c r="E54" i="1" s="1"/>
  <c r="C53" i="1"/>
  <c r="E53" i="1" s="1"/>
  <c r="C49" i="1" l="1"/>
  <c r="E49" i="1" s="1"/>
  <c r="C56" i="1"/>
  <c r="E56" i="1" s="1"/>
  <c r="C55" i="1"/>
  <c r="E55" i="1" s="1"/>
  <c r="C50" i="1"/>
  <c r="E50" i="1" s="1"/>
</calcChain>
</file>

<file path=xl/comments1.xml><?xml version="1.0" encoding="utf-8"?>
<comments xmlns="http://schemas.openxmlformats.org/spreadsheetml/2006/main">
  <authors>
    <author>Fedorov_A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Fedorov_A:</t>
        </r>
        <r>
          <rPr>
            <sz val="9"/>
            <color indexed="81"/>
            <rFont val="Tahoma"/>
            <family val="2"/>
            <charset val="204"/>
          </rPr>
          <t xml:space="preserve">
Пересчитано на год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Fedorov_A:</t>
        </r>
        <r>
          <rPr>
            <sz val="9"/>
            <color indexed="81"/>
            <rFont val="Tahoma"/>
            <family val="2"/>
            <charset val="204"/>
          </rPr>
          <t xml:space="preserve">
В расчете для сокращения расходов не учитываем. Считаем, что на стол положили. :-)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Fedorov_A:</t>
        </r>
        <r>
          <rPr>
            <sz val="9"/>
            <color indexed="81"/>
            <rFont val="Tahoma"/>
            <family val="2"/>
            <charset val="204"/>
          </rPr>
          <t xml:space="preserve">
Считаем, что уже есть</t>
        </r>
      </text>
    </comment>
  </commentList>
</comments>
</file>

<file path=xl/comments2.xml><?xml version="1.0" encoding="utf-8"?>
<comments xmlns="http://schemas.openxmlformats.org/spreadsheetml/2006/main">
  <authors>
    <author>Fedorov_A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Fedorov_A:</t>
        </r>
        <r>
          <rPr>
            <sz val="9"/>
            <color indexed="81"/>
            <rFont val="Tahoma"/>
            <family val="2"/>
            <charset val="204"/>
          </rPr>
          <t xml:space="preserve">
Пересчитано на год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>Fedorov_A:</t>
        </r>
        <r>
          <rPr>
            <sz val="9"/>
            <color indexed="81"/>
            <rFont val="Tahoma"/>
            <charset val="1"/>
          </rPr>
          <t xml:space="preserve">
Core CAL включает следующие клиентские лицензии:
Windows Server CAL
Exchange Server Standard CAL
Office SharePoint Server Standard CAL
System Center Configuration Manager Client Management License</t>
        </r>
      </text>
    </comment>
  </commentList>
</comments>
</file>

<file path=xl/comments3.xml><?xml version="1.0" encoding="utf-8"?>
<comments xmlns="http://schemas.openxmlformats.org/spreadsheetml/2006/main">
  <authors>
    <author>Fedorov_A</author>
  </authors>
  <commentList>
    <comment ref="N20" authorId="0">
      <text>
        <r>
          <rPr>
            <b/>
            <sz val="9"/>
            <color indexed="81"/>
            <rFont val="Tahoma"/>
            <charset val="1"/>
          </rPr>
          <t>Fedorov_A:</t>
        </r>
        <r>
          <rPr>
            <sz val="9"/>
            <color indexed="81"/>
            <rFont val="Tahoma"/>
            <charset val="1"/>
          </rPr>
          <t xml:space="preserve">
Оплачиваем только SA, т.к. сам продукт уже приобретен</t>
        </r>
      </text>
    </comment>
  </commentList>
</comments>
</file>

<file path=xl/comments4.xml><?xml version="1.0" encoding="utf-8"?>
<comments xmlns="http://schemas.openxmlformats.org/spreadsheetml/2006/main">
  <authors>
    <author>Fedorov_A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Fedorov_A:</t>
        </r>
        <r>
          <rPr>
            <sz val="9"/>
            <color indexed="81"/>
            <rFont val="Tahoma"/>
            <family val="2"/>
            <charset val="204"/>
          </rPr>
          <t xml:space="preserve">
Надо считать по-другому</t>
        </r>
      </text>
    </comment>
  </commentList>
</comments>
</file>

<file path=xl/sharedStrings.xml><?xml version="1.0" encoding="utf-8"?>
<sst xmlns="http://schemas.openxmlformats.org/spreadsheetml/2006/main" count="174" uniqueCount="128">
  <si>
    <t>Спецификация OVS Office Pro</t>
  </si>
  <si>
    <t>Артикул</t>
  </si>
  <si>
    <t>Наименование</t>
  </si>
  <si>
    <t>Кол-во</t>
  </si>
  <si>
    <t>Цена</t>
  </si>
  <si>
    <t>269-09648</t>
  </si>
  <si>
    <t>Office Professional Plus ALNG LicSAPk OLVS NL 1Y Enterprise</t>
  </si>
  <si>
    <t>312-03195</t>
  </si>
  <si>
    <t>Exchange Server Standard ALNG LicSAPk OLVS NL 1Y Additional Product</t>
  </si>
  <si>
    <t>5HU-00158</t>
  </si>
  <si>
    <t>Lync Server ALNG LicSAPk OLVS NL 1Y Additional Product</t>
  </si>
  <si>
    <t>H04-01506</t>
  </si>
  <si>
    <t>SharePoint Server ALNG LicSAPk OLVS NL 1Y Additional Product</t>
  </si>
  <si>
    <t>W06-00857</t>
  </si>
  <si>
    <t>Core CAL ALNG LicSAPk OLVS NL 1Y Enterprise User CAL</t>
  </si>
  <si>
    <t>Кондиционер Daikin FT25/R25</t>
  </si>
  <si>
    <t>ИБП SURT 3000VA</t>
  </si>
  <si>
    <t>NAS Netgear RNDU 6000-100PES</t>
  </si>
  <si>
    <t>Сервер (брендовый)</t>
  </si>
  <si>
    <t>Диски для NAS enterprise уровня Hitachi HUS724030ALE640</t>
  </si>
  <si>
    <t>Инфраструктурные компоненты</t>
  </si>
  <si>
    <t>Сумма, с НДС</t>
  </si>
  <si>
    <t>Стоимость электроэнергии, 1 кВт/ч</t>
  </si>
  <si>
    <t>Затраты электроэнергии в год, кВт/ч</t>
  </si>
  <si>
    <t>Суммарное энергопотребление серверов и кондиционера, кВт/ч</t>
  </si>
  <si>
    <t>Процент времени затрачиваемый на сопровождение серверов</t>
  </si>
  <si>
    <t>Аренда помещения для размещения серверов, руб.</t>
  </si>
  <si>
    <t>Рабочих дней в месяце, дней</t>
  </si>
  <si>
    <t>Зарплата сисадмина, руб./мес</t>
  </si>
  <si>
    <t>Процент времени затрачиваемый на сопровождение серверов, дней в мес</t>
  </si>
  <si>
    <t>Полные затраты компании по содержанию специалиста в год, руб.</t>
  </si>
  <si>
    <t>Средний срок эксплуатации оборудования, лет.</t>
  </si>
  <si>
    <t>Количество сотрудников, человек</t>
  </si>
  <si>
    <t>Итого, руб.:</t>
  </si>
  <si>
    <t>Стоимость привлечения финансов, %</t>
  </si>
  <si>
    <t>Стоимость привлечения финансов в месяц, %</t>
  </si>
  <si>
    <t>Традиционное лицензирование</t>
  </si>
  <si>
    <t>"Облачная" подписка</t>
  </si>
  <si>
    <t>Стоимость подписки Office 365 M1 на человека (у продавцов ПО), руб. в месяц</t>
  </si>
  <si>
    <t>Стоимость подписки Office 365 M1 на человека (у операторов связи), руб. в месяц</t>
  </si>
  <si>
    <t>NNOBWZF0-BI1ED</t>
  </si>
  <si>
    <t>Kaspersky Security для почтовых серверов Russian Edition. 150-249 User 2 year Base License</t>
  </si>
  <si>
    <t>Оплата услуг сисадмина на сопровождение серверов в год, руб.</t>
  </si>
  <si>
    <t>Итого, руб. в год:</t>
  </si>
  <si>
    <t>Итого за год, руб.:</t>
  </si>
  <si>
    <t>Итого за год, руб:</t>
  </si>
  <si>
    <t>Итого затраты за год, учитывая стоимость денег, руб.:</t>
  </si>
  <si>
    <t>Итого за год у продавцов ПО, руб.</t>
  </si>
  <si>
    <t>Итого за месяц у операторов связи, руб.</t>
  </si>
  <si>
    <t>Итого за год у продавцов ПО с учетом будущей стоимости денег, руб.</t>
  </si>
  <si>
    <t>Итого за год у операторов связи с учетом будущей стоимости денег, руб.</t>
  </si>
  <si>
    <t xml:space="preserve">Годовая экономия при подписке на Office 365 у продавцов ПО, руб. </t>
  </si>
  <si>
    <t>Годовая экономия при подписке на Office 365 у операторов связи, руб.</t>
  </si>
  <si>
    <t>Годовая экономия при подписке на Office 365 у продавцов ПО с учетом будущей стоимости денег, руб.</t>
  </si>
  <si>
    <t>Годовая экономия при подписке на Office 365 у операторов связи с учетом будущей стоимости денег, руб.</t>
  </si>
  <si>
    <t>"Облачная" экономия</t>
  </si>
  <si>
    <t>Серверная стока/шкаф</t>
  </si>
  <si>
    <t>Коммутатор уровня ядра</t>
  </si>
  <si>
    <t>Годовая экономия при подписке на Office 365 у продавцов ПО, руб. на человека</t>
  </si>
  <si>
    <t>Годовая экономия при подписке на Office 365 у операторов связи, руб. на человека</t>
  </si>
  <si>
    <t>Годовая экономия при подписке на Office 365 у продавцов ПО с учетом будущей стоимости денег, руб. на человека</t>
  </si>
  <si>
    <t>Годовая экономия при подписке на Office 365 у операторов связи с учетом будущей стоимости денег, руб. на человека</t>
  </si>
  <si>
    <t>Сумма с НДС с учетом будущей стоимости денег</t>
  </si>
  <si>
    <t>Увеличение полосы пропускания канала связи в год, руб.</t>
  </si>
  <si>
    <t>Замена сетевобоорудования для обеспечен баланировки каналоов</t>
  </si>
  <si>
    <t>Лицензии на ПО для резервого копирования из "облака"</t>
  </si>
  <si>
    <t>Скорость канала, Мб/c</t>
  </si>
  <si>
    <t>Объем локальных почтовых ящиков, МБ</t>
  </si>
  <si>
    <t>Скорость канала, МБ/c</t>
  </si>
  <si>
    <t>Время на передачу данных, часов</t>
  </si>
  <si>
    <t>Время на передачу данных, дней</t>
  </si>
  <si>
    <t>Реальная скорость в канале с учетом накладных расходов, МБ/c</t>
  </si>
  <si>
    <t>Эффективность передачи, %</t>
  </si>
  <si>
    <t>Время на переачу данных в "облако"</t>
  </si>
  <si>
    <t>Время на передачу данных при передаче во внерабочее время, дней</t>
  </si>
  <si>
    <t>Сколько времени в день доступно для передачи данных в "облако", часов</t>
  </si>
  <si>
    <t>021-07257</t>
  </si>
  <si>
    <t>Office Standard Single LicSAPk OLV NL 1Y AqY1 AP</t>
  </si>
  <si>
    <t>312-03474</t>
  </si>
  <si>
    <t>Exchange Server Standard Russian LicSAPk OLV NL 1Y AqY1 Additional Product</t>
  </si>
  <si>
    <t>381-03546</t>
  </si>
  <si>
    <t>Exchange Standard CAL Russian LicSAPk OLV NL 1Y AqY1 Additional Product User CAL</t>
  </si>
  <si>
    <t>W06-00854</t>
  </si>
  <si>
    <t>Core CAL ALNG LicSAPk OLV NL 1Y AqY1 Enterprise User CAL</t>
  </si>
  <si>
    <t>Горизонт расчета, лет</t>
  </si>
  <si>
    <t>Итого за 3 года подписка на Office 365 у операторов связи с учетом будущей стоимости денег, руб.</t>
  </si>
  <si>
    <t>Итого за 3 года подписка на Office 365 у продавцов ПО с учетом будущей стоимости денег, руб.</t>
  </si>
  <si>
    <t>Итого за 3 года OV с учетом будущей стоимости денег, руб.</t>
  </si>
  <si>
    <t>Итого за 3 года OV с учетом будущей стоимости денег (Core CAL), руб.</t>
  </si>
  <si>
    <t>Лицензирование OV</t>
  </si>
  <si>
    <t>WinSvrCAL SNGL LicSAPk OLV NL 1Y AqY1 AP UsrCAL</t>
  </si>
  <si>
    <t>R18-01855</t>
  </si>
  <si>
    <t>Message Plus 200 учетных записей Не ограничено по сроку</t>
  </si>
  <si>
    <t>26-32-COMMUNIGATEPRO-SL</t>
  </si>
  <si>
    <t>AV Sophos 200 учетных записей на 12 месяцев</t>
  </si>
  <si>
    <t>19-106-COMMUNIGATEPRO-SL</t>
  </si>
  <si>
    <t>Продление Message Plus 200 на год</t>
  </si>
  <si>
    <t>Лицензирование Communigate на год</t>
  </si>
  <si>
    <t>Итого с учетом будущей стоимости денег:</t>
  </si>
  <si>
    <t>Итого за 3 года с учетом будущей стоимости денег, руб.</t>
  </si>
  <si>
    <t>Итого за 3 года подписка на Office 365 без учета стоимости денег, руб.</t>
  </si>
  <si>
    <t>Спецификация Office Std OLP</t>
  </si>
  <si>
    <t>Сумма</t>
  </si>
  <si>
    <t>021-10255</t>
  </si>
  <si>
    <t>Office Standard 2013 Russian OLP NL</t>
  </si>
  <si>
    <t>без SA</t>
  </si>
  <si>
    <t>021-05410</t>
  </si>
  <si>
    <t>Office Standard Russian LicSAPk OLP NL</t>
  </si>
  <si>
    <t>с SA на 2 года</t>
  </si>
  <si>
    <t>021-05578</t>
  </si>
  <si>
    <t>Office Standard Russian SA OLP NL</t>
  </si>
  <si>
    <t>продление SA на 2 года</t>
  </si>
  <si>
    <t>Итого за &lt;=3 года OV с учетом будущей стоимости денег, руб.</t>
  </si>
  <si>
    <t>Итого за период расчета OV без учета стоимости денег, руб.</t>
  </si>
  <si>
    <t>Итого за период расчета OV с учетом будущей стоимости денег, руб.</t>
  </si>
  <si>
    <t>Итого за время расчета без SA с учетом стоимости денег, руб.</t>
  </si>
  <si>
    <t>Итого за время расчета c SA с учетом стоимости денег, руб.</t>
  </si>
  <si>
    <t>Интервал обновления офисного ПО</t>
  </si>
  <si>
    <t>Оплата за SA</t>
  </si>
  <si>
    <t>Office Std OLP без SA</t>
  </si>
  <si>
    <t>Office Std OLP с SA</t>
  </si>
  <si>
    <t>Обновление Office Std</t>
  </si>
  <si>
    <t>Спустя три года стоимость SA, руб. в год</t>
  </si>
  <si>
    <t>Office Std OV</t>
  </si>
  <si>
    <t>Office Std OVS</t>
  </si>
  <si>
    <t>Год</t>
  </si>
  <si>
    <t>Office 365, ежегодная оплата (Office Prof Plus)</t>
  </si>
  <si>
    <t>Office 365, ежемесячная оплата (Office Prof Plus)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</si>
</sst>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р.&quot;;[Red]\-#,##0.00\ &quot;р.&quot;"/>
    <numFmt numFmtId="164" formatCode="#,##0.00\ \р\."/>
    <numFmt numFmtId="165" formatCode="0.0"/>
    <numFmt numFmtId="166" formatCode="0.0%"/>
    <numFmt numFmtId="167" formatCode="#,##0\ _р_.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u/>
      <sz val="10"/>
      <color indexed="12"/>
      <name val="Arial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b/>
      <sz val="8"/>
      <color rgb="FFFF000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</cellStyleXfs>
  <cellXfs count="86">
    <xf numFmtId="0" fontId="0" fillId="0" borderId="0" xfId="0"/>
    <xf numFmtId="49" fontId="5" fillId="0" borderId="1" xfId="1" applyNumberFormat="1" applyFont="1" applyBorder="1" applyAlignment="1" applyProtection="1">
      <alignment wrapText="1"/>
      <protection locked="0"/>
    </xf>
    <xf numFmtId="0" fontId="5" fillId="2" borderId="1" xfId="1" applyFont="1" applyFill="1" applyBorder="1" applyAlignment="1" applyProtection="1">
      <alignment horizontal="right" wrapText="1"/>
      <protection locked="0"/>
    </xf>
    <xf numFmtId="1" fontId="5" fillId="2" borderId="1" xfId="1" applyNumberFormat="1" applyFont="1" applyFill="1" applyBorder="1" applyAlignment="1" applyProtection="1">
      <alignment horizont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49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1" xfId="2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  <protection locked="0"/>
    </xf>
    <xf numFmtId="49" fontId="5" fillId="0" borderId="0" xfId="1" applyNumberFormat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 applyProtection="1">
      <alignment horizontal="right" wrapText="1"/>
      <protection locked="0"/>
    </xf>
    <xf numFmtId="1" fontId="5" fillId="0" borderId="0" xfId="1" applyNumberFormat="1" applyFont="1" applyFill="1" applyBorder="1" applyAlignment="1" applyProtection="1">
      <alignment horizontal="center" wrapText="1"/>
      <protection locked="0"/>
    </xf>
    <xf numFmtId="164" fontId="5" fillId="0" borderId="0" xfId="1" applyNumberFormat="1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0" xfId="0"/>
    <xf numFmtId="165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4" fontId="10" fillId="2" borderId="1" xfId="1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1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166" fontId="0" fillId="0" borderId="0" xfId="0" applyNumberFormat="1" applyAlignment="1">
      <alignment horizontal="center"/>
    </xf>
    <xf numFmtId="9" fontId="2" fillId="0" borderId="0" xfId="0" applyNumberFormat="1" applyFont="1" applyAlignment="1">
      <alignment horizont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/>
    <xf numFmtId="164" fontId="5" fillId="0" borderId="1" xfId="1" applyNumberFormat="1" applyFont="1" applyFill="1" applyBorder="1" applyAlignment="1" applyProtection="1">
      <alignment wrapText="1"/>
      <protection locked="0"/>
    </xf>
    <xf numFmtId="164" fontId="8" fillId="0" borderId="1" xfId="1" applyNumberFormat="1" applyFont="1" applyFill="1" applyBorder="1" applyAlignment="1" applyProtection="1">
      <alignment wrapText="1"/>
      <protection locked="0"/>
    </xf>
    <xf numFmtId="164" fontId="8" fillId="0" borderId="0" xfId="1" applyNumberFormat="1" applyFont="1" applyFill="1" applyBorder="1" applyAlignment="1" applyProtection="1">
      <alignment wrapText="1"/>
      <protection locked="0"/>
    </xf>
    <xf numFmtId="2" fontId="0" fillId="0" borderId="1" xfId="0" applyNumberFormat="1" applyBorder="1"/>
    <xf numFmtId="1" fontId="0" fillId="0" borderId="1" xfId="0" applyNumberFormat="1" applyBorder="1"/>
    <xf numFmtId="167" fontId="0" fillId="0" borderId="1" xfId="0" applyNumberFormat="1" applyBorder="1"/>
    <xf numFmtId="9" fontId="0" fillId="0" borderId="1" xfId="0" applyNumberFormat="1" applyBorder="1"/>
    <xf numFmtId="0" fontId="0" fillId="0" borderId="0" xfId="0" applyBorder="1"/>
    <xf numFmtId="0" fontId="5" fillId="0" borderId="0" xfId="1" applyFont="1" applyFill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8" fontId="0" fillId="0" borderId="0" xfId="0" applyNumberFormat="1"/>
    <xf numFmtId="0" fontId="2" fillId="0" borderId="0" xfId="0" applyFont="1"/>
    <xf numFmtId="8" fontId="2" fillId="0" borderId="0" xfId="0" applyNumberFormat="1" applyFont="1"/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8" fontId="0" fillId="0" borderId="1" xfId="0" applyNumberFormat="1" applyFont="1" applyBorder="1"/>
    <xf numFmtId="8" fontId="0" fillId="0" borderId="0" xfId="0" applyNumberFormat="1" applyFont="1" applyBorder="1"/>
    <xf numFmtId="0" fontId="5" fillId="2" borderId="1" xfId="1" applyFont="1" applyFill="1" applyBorder="1" applyAlignment="1" applyProtection="1">
      <alignment horizontal="left" wrapText="1"/>
      <protection locked="0"/>
    </xf>
    <xf numFmtId="4" fontId="0" fillId="0" borderId="0" xfId="0" applyNumberFormat="1"/>
    <xf numFmtId="0" fontId="6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Fill="1" applyBorder="1" applyAlignment="1" applyProtection="1">
      <alignment horizontal="right" wrapText="1"/>
      <protection locked="0"/>
    </xf>
    <xf numFmtId="1" fontId="5" fillId="0" borderId="6" xfId="1" applyNumberFormat="1" applyFont="1" applyFill="1" applyBorder="1" applyAlignment="1" applyProtection="1">
      <alignment horizontal="center" wrapText="1"/>
      <protection locked="0"/>
    </xf>
    <xf numFmtId="164" fontId="5" fillId="0" borderId="6" xfId="1" applyNumberFormat="1" applyFont="1" applyFill="1" applyBorder="1" applyAlignment="1" applyProtection="1">
      <alignment wrapText="1"/>
      <protection locked="0"/>
    </xf>
    <xf numFmtId="164" fontId="5" fillId="0" borderId="2" xfId="1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1" applyFont="1" applyAlignment="1" applyProtection="1">
      <alignment horizontal="center" wrapText="1"/>
      <protection locked="0"/>
    </xf>
    <xf numFmtId="0" fontId="6" fillId="0" borderId="0" xfId="1" applyFont="1" applyAlignment="1" applyProtection="1">
      <alignment horizont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164" fontId="5" fillId="0" borderId="2" xfId="1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center"/>
    </xf>
    <xf numFmtId="164" fontId="5" fillId="2" borderId="3" xfId="1" applyNumberFormat="1" applyFont="1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164" fontId="5" fillId="2" borderId="3" xfId="1" applyNumberFormat="1" applyFont="1" applyFill="1" applyBorder="1" applyAlignment="1" applyProtection="1">
      <protection locked="0"/>
    </xf>
    <xf numFmtId="0" fontId="0" fillId="0" borderId="4" xfId="0" applyBorder="1" applyAlignment="1"/>
    <xf numFmtId="0" fontId="0" fillId="0" borderId="5" xfId="0" applyBorder="1" applyAlignment="1"/>
    <xf numFmtId="0" fontId="5" fillId="2" borderId="0" xfId="1" applyFont="1" applyFill="1" applyBorder="1" applyAlignment="1" applyProtection="1">
      <alignment horizontal="left" wrapText="1"/>
      <protection locked="0"/>
    </xf>
    <xf numFmtId="164" fontId="0" fillId="0" borderId="1" xfId="0" applyNumberFormat="1" applyFill="1" applyBorder="1"/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Гиперссылка" xfId="2" builtinId="8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'Office 365 vs OLP'!$I$16</c:f>
              <c:strCache>
                <c:ptCount val="1"/>
              </c:strCache>
            </c:strRef>
          </c:tx>
          <c:xVal>
            <c:numRef>
              <c:f>'Office 365 vs OLP'!$H$17:$H$31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'Office 365 vs OLP'!$I$17:$I$31</c:f>
            </c:numRef>
          </c:yVal>
          <c:smooth val="1"/>
        </c:ser>
        <c:ser>
          <c:idx val="3"/>
          <c:order val="3"/>
          <c:tx>
            <c:strRef>
              <c:f>'Office 365 vs OLP'!$P$16</c:f>
              <c:strCache>
                <c:ptCount val="1"/>
                <c:pt idx="0">
                  <c:v>Office 365, ежегодная оплата (Office Prof Plus)</c:v>
                </c:pt>
              </c:strCache>
            </c:strRef>
          </c:tx>
          <c:xVal>
            <c:numRef>
              <c:f>'Office 365 vs OLP'!$H$17:$H$31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'Office 365 vs OLP'!$P$17:$P$31</c:f>
              <c:numCache>
                <c:formatCode>#,##0.00\ \р\.</c:formatCode>
                <c:ptCount val="15"/>
                <c:pt idx="0">
                  <c:v>1106400</c:v>
                </c:pt>
                <c:pt idx="1">
                  <c:v>2212800</c:v>
                </c:pt>
                <c:pt idx="2">
                  <c:v>3319200</c:v>
                </c:pt>
                <c:pt idx="3">
                  <c:v>4425600</c:v>
                </c:pt>
                <c:pt idx="4">
                  <c:v>5532000</c:v>
                </c:pt>
                <c:pt idx="5">
                  <c:v>6638400</c:v>
                </c:pt>
                <c:pt idx="6">
                  <c:v>7744800</c:v>
                </c:pt>
                <c:pt idx="7">
                  <c:v>8851200</c:v>
                </c:pt>
                <c:pt idx="8">
                  <c:v>9957600</c:v>
                </c:pt>
                <c:pt idx="9">
                  <c:v>11064000</c:v>
                </c:pt>
                <c:pt idx="10">
                  <c:v>12170400</c:v>
                </c:pt>
                <c:pt idx="11">
                  <c:v>13276800</c:v>
                </c:pt>
                <c:pt idx="12">
                  <c:v>14383200</c:v>
                </c:pt>
                <c:pt idx="13">
                  <c:v>15489600</c:v>
                </c:pt>
                <c:pt idx="14">
                  <c:v>16596000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'Office 365 vs OLP'!$Q$16</c:f>
              <c:strCache>
                <c:ptCount val="1"/>
                <c:pt idx="0">
                  <c:v>Office 365, ежемесячная оплата (Office Prof Plus)</c:v>
                </c:pt>
              </c:strCache>
            </c:strRef>
          </c:tx>
          <c:xVal>
            <c:numRef>
              <c:f>'Office 365 vs OLP'!$H$17:$H$31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'Office 365 vs OLP'!$Q$17:$Q$31</c:f>
              <c:numCache>
                <c:formatCode>#,##0.00\ \р\.</c:formatCode>
                <c:ptCount val="15"/>
                <c:pt idx="0">
                  <c:v>1106400</c:v>
                </c:pt>
                <c:pt idx="1">
                  <c:v>2212800</c:v>
                </c:pt>
                <c:pt idx="2">
                  <c:v>3319200</c:v>
                </c:pt>
                <c:pt idx="3">
                  <c:v>4425600</c:v>
                </c:pt>
                <c:pt idx="4">
                  <c:v>5532000</c:v>
                </c:pt>
                <c:pt idx="5">
                  <c:v>6638400</c:v>
                </c:pt>
                <c:pt idx="6">
                  <c:v>7744800</c:v>
                </c:pt>
                <c:pt idx="7">
                  <c:v>8851200</c:v>
                </c:pt>
                <c:pt idx="8">
                  <c:v>9957600</c:v>
                </c:pt>
                <c:pt idx="9">
                  <c:v>11064000</c:v>
                </c:pt>
                <c:pt idx="10">
                  <c:v>12170400</c:v>
                </c:pt>
                <c:pt idx="11">
                  <c:v>13276800</c:v>
                </c:pt>
                <c:pt idx="12">
                  <c:v>14383200</c:v>
                </c:pt>
                <c:pt idx="13">
                  <c:v>15489600</c:v>
                </c:pt>
                <c:pt idx="14">
                  <c:v>16596000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'Office 365 vs OLP'!$N$16</c:f>
              <c:strCache>
                <c:ptCount val="1"/>
                <c:pt idx="0">
                  <c:v>Office Std OV</c:v>
                </c:pt>
              </c:strCache>
            </c:strRef>
          </c:tx>
          <c:xVal>
            <c:numRef>
              <c:f>'Office 365 vs OLP'!$H$17:$H$31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'Office 365 vs OLP'!$N$17:$N$31</c:f>
              <c:numCache>
                <c:formatCode>#,##0.00\ \р\.</c:formatCode>
                <c:ptCount val="15"/>
                <c:pt idx="0">
                  <c:v>1425192</c:v>
                </c:pt>
                <c:pt idx="1">
                  <c:v>2850384</c:v>
                </c:pt>
                <c:pt idx="2">
                  <c:v>4275576</c:v>
                </c:pt>
                <c:pt idx="3">
                  <c:v>4938434</c:v>
                </c:pt>
                <c:pt idx="4">
                  <c:v>5601292</c:v>
                </c:pt>
                <c:pt idx="5">
                  <c:v>6264150</c:v>
                </c:pt>
                <c:pt idx="6">
                  <c:v>6927008</c:v>
                </c:pt>
                <c:pt idx="7">
                  <c:v>7589866</c:v>
                </c:pt>
                <c:pt idx="8">
                  <c:v>8252724</c:v>
                </c:pt>
                <c:pt idx="9">
                  <c:v>8915582</c:v>
                </c:pt>
                <c:pt idx="10">
                  <c:v>9578440</c:v>
                </c:pt>
                <c:pt idx="11">
                  <c:v>10241298</c:v>
                </c:pt>
                <c:pt idx="12">
                  <c:v>10904156</c:v>
                </c:pt>
                <c:pt idx="13">
                  <c:v>11567014</c:v>
                </c:pt>
                <c:pt idx="14">
                  <c:v>12229872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'Office 365 vs OLP'!$O$16</c:f>
              <c:strCache>
                <c:ptCount val="1"/>
                <c:pt idx="0">
                  <c:v>Office Std OVS</c:v>
                </c:pt>
              </c:strCache>
            </c:strRef>
          </c:tx>
          <c:xVal>
            <c:numRef>
              <c:f>'Office 365 vs OLP'!$H$17:$H$31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'Office 365 vs OLP'!$O$17:$O$31</c:f>
              <c:numCache>
                <c:formatCode>#,##0.00\ \р\.</c:formatCode>
                <c:ptCount val="15"/>
                <c:pt idx="0">
                  <c:v>1044592</c:v>
                </c:pt>
                <c:pt idx="1">
                  <c:v>2089184</c:v>
                </c:pt>
                <c:pt idx="2">
                  <c:v>3133776</c:v>
                </c:pt>
                <c:pt idx="3">
                  <c:v>4178368</c:v>
                </c:pt>
                <c:pt idx="4">
                  <c:v>5222960</c:v>
                </c:pt>
                <c:pt idx="5">
                  <c:v>6267552</c:v>
                </c:pt>
                <c:pt idx="6">
                  <c:v>7312144</c:v>
                </c:pt>
                <c:pt idx="7">
                  <c:v>8356736</c:v>
                </c:pt>
                <c:pt idx="8">
                  <c:v>9401328</c:v>
                </c:pt>
                <c:pt idx="9">
                  <c:v>10445920</c:v>
                </c:pt>
                <c:pt idx="10">
                  <c:v>11490512</c:v>
                </c:pt>
                <c:pt idx="11">
                  <c:v>12535104</c:v>
                </c:pt>
                <c:pt idx="12">
                  <c:v>13579696</c:v>
                </c:pt>
                <c:pt idx="13">
                  <c:v>14624288</c:v>
                </c:pt>
                <c:pt idx="14">
                  <c:v>15668880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1968"/>
        <c:axId val="49782080"/>
      </c:scatterChart>
      <c:scatterChart>
        <c:scatterStyle val="lineMarker"/>
        <c:varyColors val="0"/>
        <c:ser>
          <c:idx val="1"/>
          <c:order val="1"/>
          <c:tx>
            <c:strRef>
              <c:f>'Office 365 vs OLP'!$J$16</c:f>
              <c:strCache>
                <c:ptCount val="1"/>
                <c:pt idx="0">
                  <c:v>Office Std OLP с SA</c:v>
                </c:pt>
              </c:strCache>
            </c:strRef>
          </c:tx>
          <c:xVal>
            <c:numRef>
              <c:f>'Office 365 vs OLP'!$H$17:$H$31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'Office 365 vs OLP'!$J$17:$J$31</c:f>
              <c:numCache>
                <c:formatCode>#,##0.00\ \р\.</c:formatCode>
                <c:ptCount val="15"/>
                <c:pt idx="0">
                  <c:v>3480400</c:v>
                </c:pt>
                <c:pt idx="1">
                  <c:v>3480400</c:v>
                </c:pt>
                <c:pt idx="2">
                  <c:v>4757600</c:v>
                </c:pt>
                <c:pt idx="3">
                  <c:v>4757600</c:v>
                </c:pt>
                <c:pt idx="4">
                  <c:v>6034800</c:v>
                </c:pt>
                <c:pt idx="5">
                  <c:v>6034800</c:v>
                </c:pt>
                <c:pt idx="6">
                  <c:v>7312000</c:v>
                </c:pt>
                <c:pt idx="7">
                  <c:v>7312000</c:v>
                </c:pt>
                <c:pt idx="8">
                  <c:v>8589200</c:v>
                </c:pt>
                <c:pt idx="9">
                  <c:v>8589200</c:v>
                </c:pt>
                <c:pt idx="10">
                  <c:v>9866400</c:v>
                </c:pt>
                <c:pt idx="11">
                  <c:v>9866400</c:v>
                </c:pt>
                <c:pt idx="12">
                  <c:v>11143600</c:v>
                </c:pt>
                <c:pt idx="13">
                  <c:v>11143600</c:v>
                </c:pt>
                <c:pt idx="14">
                  <c:v>12420800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'Office 365 vs OLP'!$L$16</c:f>
              <c:strCache>
                <c:ptCount val="1"/>
                <c:pt idx="0">
                  <c:v>Office Std OLP без SA</c:v>
                </c:pt>
              </c:strCache>
            </c:strRef>
          </c:tx>
          <c:xVal>
            <c:numRef>
              <c:f>'Office 365 vs OLP'!$H$17:$H$31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'Office 365 vs OLP'!$L$17:$L$31</c:f>
              <c:numCache>
                <c:formatCode>#,##0.00\ \р\.</c:formatCode>
                <c:ptCount val="15"/>
                <c:pt idx="0">
                  <c:v>2203200</c:v>
                </c:pt>
                <c:pt idx="1">
                  <c:v>2203200</c:v>
                </c:pt>
                <c:pt idx="2">
                  <c:v>2203200</c:v>
                </c:pt>
                <c:pt idx="3">
                  <c:v>4406400</c:v>
                </c:pt>
                <c:pt idx="4">
                  <c:v>4406400</c:v>
                </c:pt>
                <c:pt idx="5">
                  <c:v>4406400</c:v>
                </c:pt>
                <c:pt idx="6">
                  <c:v>4406400</c:v>
                </c:pt>
                <c:pt idx="7">
                  <c:v>6609600</c:v>
                </c:pt>
                <c:pt idx="8">
                  <c:v>6609600</c:v>
                </c:pt>
                <c:pt idx="9">
                  <c:v>6609600</c:v>
                </c:pt>
                <c:pt idx="10">
                  <c:v>6609600</c:v>
                </c:pt>
                <c:pt idx="11">
                  <c:v>8812800</c:v>
                </c:pt>
                <c:pt idx="12">
                  <c:v>8812800</c:v>
                </c:pt>
                <c:pt idx="13">
                  <c:v>8812800</c:v>
                </c:pt>
                <c:pt idx="14">
                  <c:v>8812800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1968"/>
        <c:axId val="49782080"/>
      </c:scatterChart>
      <c:valAx>
        <c:axId val="52051968"/>
        <c:scaling>
          <c:orientation val="minMax"/>
          <c:max val="15"/>
          <c:min val="1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49782080"/>
        <c:crosses val="autoZero"/>
        <c:crossBetween val="midCat"/>
        <c:majorUnit val="1"/>
      </c:valAx>
      <c:valAx>
        <c:axId val="49782080"/>
        <c:scaling>
          <c:orientation val="minMax"/>
          <c:min val="1000000"/>
        </c:scaling>
        <c:delete val="0"/>
        <c:axPos val="l"/>
        <c:majorGridlines/>
        <c:numFmt formatCode="#,##0.00\ \р\." sourceLinked="1"/>
        <c:majorTickMark val="none"/>
        <c:minorTickMark val="none"/>
        <c:tickLblPos val="nextTo"/>
        <c:crossAx val="52051968"/>
        <c:crosses val="autoZero"/>
        <c:crossBetween val="midCat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19</xdr:row>
      <xdr:rowOff>142874</xdr:rowOff>
    </xdr:from>
    <xdr:to>
      <xdr:col>5</xdr:col>
      <xdr:colOff>2000250</xdr:colOff>
      <xdr:row>50</xdr:row>
      <xdr:rowOff>152399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arket.yandex.ru/model.xml?modelid=7956418&amp;hid=91033" TargetMode="External"/><Relationship Id="rId1" Type="http://schemas.openxmlformats.org/officeDocument/2006/relationships/hyperlink" Target="http://market.yandex.ru/model.xml?modelid=7689462&amp;hid=91033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3" sqref="B3"/>
    </sheetView>
  </sheetViews>
  <sheetFormatPr defaultRowHeight="15" x14ac:dyDescent="0.25"/>
  <cols>
    <col min="1" max="1" width="41.85546875" customWidth="1"/>
  </cols>
  <sheetData>
    <row r="1" spans="1:2" x14ac:dyDescent="0.25">
      <c r="A1" s="41" t="s">
        <v>32</v>
      </c>
      <c r="B1" s="31">
        <v>200</v>
      </c>
    </row>
    <row r="2" spans="1:2" x14ac:dyDescent="0.25">
      <c r="A2" s="14" t="s">
        <v>34</v>
      </c>
      <c r="B2" s="30">
        <v>0</v>
      </c>
    </row>
    <row r="3" spans="1:2" x14ac:dyDescent="0.25">
      <c r="A3" s="12" t="s">
        <v>35</v>
      </c>
      <c r="B3" s="29">
        <f>B2/12</f>
        <v>0</v>
      </c>
    </row>
    <row r="4" spans="1:2" x14ac:dyDescent="0.25">
      <c r="A4" s="8" t="s">
        <v>31</v>
      </c>
      <c r="B4" s="23">
        <v>5</v>
      </c>
    </row>
    <row r="5" spans="1:2" x14ac:dyDescent="0.25">
      <c r="A5" s="28" t="s">
        <v>22</v>
      </c>
      <c r="B5" s="9">
        <v>3.82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1"/>
  <sheetViews>
    <sheetView topLeftCell="A13" zoomScaleNormal="100" workbookViewId="0">
      <selection activeCell="F17" sqref="F17"/>
    </sheetView>
  </sheetViews>
  <sheetFormatPr defaultRowHeight="15" x14ac:dyDescent="0.25"/>
  <cols>
    <col min="1" max="1" width="10.42578125" customWidth="1"/>
    <col min="2" max="2" width="74" customWidth="1"/>
    <col min="3" max="3" width="16.5703125" bestFit="1" customWidth="1"/>
    <col min="4" max="4" width="14.85546875" customWidth="1"/>
    <col min="5" max="5" width="14.28515625" customWidth="1"/>
    <col min="6" max="6" width="15.28515625" bestFit="1" customWidth="1"/>
  </cols>
  <sheetData>
    <row r="1" spans="1:6" s="20" customFormat="1" x14ac:dyDescent="0.25"/>
    <row r="2" spans="1:6" x14ac:dyDescent="0.25">
      <c r="A2" s="69" t="s">
        <v>0</v>
      </c>
      <c r="B2" s="70"/>
      <c r="C2" s="70"/>
      <c r="D2" s="70"/>
      <c r="E2" s="70"/>
    </row>
    <row r="4" spans="1:6" ht="31.5" x14ac:dyDescent="0.25">
      <c r="A4" s="4" t="s">
        <v>1</v>
      </c>
      <c r="B4" s="5" t="s">
        <v>2</v>
      </c>
      <c r="C4" s="5" t="s">
        <v>3</v>
      </c>
      <c r="D4" s="9" t="s">
        <v>4</v>
      </c>
      <c r="E4" s="9" t="s">
        <v>21</v>
      </c>
      <c r="F4" s="9" t="s">
        <v>62</v>
      </c>
    </row>
    <row r="5" spans="1:6" ht="32.25" customHeight="1" x14ac:dyDescent="0.25">
      <c r="A5" s="6" t="s">
        <v>5</v>
      </c>
      <c r="B5" s="8" t="s">
        <v>6</v>
      </c>
      <c r="C5" s="7">
        <f>Справочник!B1</f>
        <v>200</v>
      </c>
      <c r="D5" s="10">
        <v>5222.96</v>
      </c>
      <c r="E5" s="10">
        <f>C5*D5</f>
        <v>1044592</v>
      </c>
      <c r="F5" s="10">
        <f>E5*(1+Справочник!$B$2)</f>
        <v>1044592</v>
      </c>
    </row>
    <row r="6" spans="1:6" x14ac:dyDescent="0.25">
      <c r="A6" s="6" t="s">
        <v>7</v>
      </c>
      <c r="B6" s="8" t="s">
        <v>8</v>
      </c>
      <c r="C6" s="7">
        <v>1</v>
      </c>
      <c r="D6" s="10">
        <v>8563.2800000000007</v>
      </c>
      <c r="E6" s="10">
        <f t="shared" ref="E6:E9" si="0">C6*D6</f>
        <v>8563.2800000000007</v>
      </c>
      <c r="F6" s="10">
        <f>E6*(1+Справочник!$B$2)</f>
        <v>8563.2800000000007</v>
      </c>
    </row>
    <row r="7" spans="1:6" x14ac:dyDescent="0.25">
      <c r="A7" s="6" t="s">
        <v>9</v>
      </c>
      <c r="B7" s="8" t="s">
        <v>10</v>
      </c>
      <c r="C7" s="7">
        <v>1</v>
      </c>
      <c r="D7" s="10">
        <v>44104.5</v>
      </c>
      <c r="E7" s="10">
        <f t="shared" si="0"/>
        <v>44104.5</v>
      </c>
      <c r="F7" s="10">
        <f>E7*(1+Справочник!$B$2)</f>
        <v>44104.5</v>
      </c>
    </row>
    <row r="8" spans="1:6" x14ac:dyDescent="0.25">
      <c r="A8" s="6" t="s">
        <v>11</v>
      </c>
      <c r="B8" s="8" t="s">
        <v>12</v>
      </c>
      <c r="C8" s="7">
        <v>1</v>
      </c>
      <c r="D8" s="10">
        <v>82244.2</v>
      </c>
      <c r="E8" s="10">
        <f t="shared" si="0"/>
        <v>82244.2</v>
      </c>
      <c r="F8" s="10">
        <f>E8*(1+Справочник!$B$2)</f>
        <v>82244.2</v>
      </c>
    </row>
    <row r="9" spans="1:6" x14ac:dyDescent="0.25">
      <c r="A9" s="6" t="s">
        <v>13</v>
      </c>
      <c r="B9" s="8" t="s">
        <v>14</v>
      </c>
      <c r="C9" s="7">
        <f>Справочник!B1</f>
        <v>200</v>
      </c>
      <c r="D9" s="10">
        <v>2303.38</v>
      </c>
      <c r="E9" s="10">
        <f t="shared" si="0"/>
        <v>460676</v>
      </c>
      <c r="F9" s="10">
        <f>E9*(1+Справочник!$B$2)</f>
        <v>460676</v>
      </c>
    </row>
    <row r="10" spans="1:6" ht="21" x14ac:dyDescent="0.25">
      <c r="A10" s="6" t="s">
        <v>40</v>
      </c>
      <c r="B10" s="8" t="s">
        <v>41</v>
      </c>
      <c r="C10" s="7">
        <f>Справочник!B1</f>
        <v>200</v>
      </c>
      <c r="D10" s="10">
        <v>912</v>
      </c>
      <c r="E10" s="10">
        <f>C10*D10/2</f>
        <v>91200</v>
      </c>
      <c r="F10" s="10">
        <f>E10*(1+Справочник!$B$2)</f>
        <v>91200</v>
      </c>
    </row>
    <row r="11" spans="1:6" x14ac:dyDescent="0.25">
      <c r="A11" s="1"/>
      <c r="B11" s="2" t="s">
        <v>43</v>
      </c>
      <c r="C11" s="3"/>
      <c r="D11" s="11"/>
      <c r="E11" s="11">
        <f>SUM(E5:E10)</f>
        <v>1731379.98</v>
      </c>
      <c r="F11" s="11">
        <f>E11*(1+Справочник!$B$2)</f>
        <v>1731379.98</v>
      </c>
    </row>
    <row r="12" spans="1:6" x14ac:dyDescent="0.25">
      <c r="A12" s="15"/>
      <c r="B12" s="16"/>
      <c r="C12" s="17"/>
      <c r="D12" s="18"/>
      <c r="E12" s="18"/>
    </row>
    <row r="13" spans="1:6" x14ac:dyDescent="0.25">
      <c r="A13" s="71" t="s">
        <v>20</v>
      </c>
      <c r="B13" s="72"/>
      <c r="C13" s="72"/>
      <c r="D13" s="72"/>
      <c r="E13" s="72"/>
    </row>
    <row r="14" spans="1:6" ht="31.5" x14ac:dyDescent="0.25">
      <c r="A14" s="5"/>
      <c r="B14" s="5"/>
      <c r="C14" s="9" t="s">
        <v>3</v>
      </c>
      <c r="D14" s="9" t="s">
        <v>4</v>
      </c>
      <c r="E14" s="9" t="s">
        <v>21</v>
      </c>
      <c r="F14" s="9" t="s">
        <v>62</v>
      </c>
    </row>
    <row r="15" spans="1:6" x14ac:dyDescent="0.25">
      <c r="A15" s="6"/>
      <c r="B15" s="8" t="s">
        <v>18</v>
      </c>
      <c r="C15" s="7">
        <v>2</v>
      </c>
      <c r="D15" s="10">
        <v>300000</v>
      </c>
      <c r="E15" s="10">
        <f>D15*C15</f>
        <v>600000</v>
      </c>
      <c r="F15" s="10"/>
    </row>
    <row r="16" spans="1:6" x14ac:dyDescent="0.25">
      <c r="A16" s="6"/>
      <c r="B16" s="8" t="s">
        <v>15</v>
      </c>
      <c r="C16" s="7">
        <v>2</v>
      </c>
      <c r="D16" s="10">
        <v>50000</v>
      </c>
      <c r="E16" s="10">
        <f t="shared" ref="E16:E19" si="1">D16*C16</f>
        <v>100000</v>
      </c>
      <c r="F16" s="10"/>
    </row>
    <row r="17" spans="1:6" x14ac:dyDescent="0.25">
      <c r="A17" s="6"/>
      <c r="B17" s="8" t="s">
        <v>16</v>
      </c>
      <c r="C17" s="7">
        <v>1</v>
      </c>
      <c r="D17" s="10">
        <v>70000</v>
      </c>
      <c r="E17" s="10">
        <f t="shared" si="1"/>
        <v>70000</v>
      </c>
      <c r="F17" s="10"/>
    </row>
    <row r="18" spans="1:6" x14ac:dyDescent="0.25">
      <c r="A18" s="6"/>
      <c r="B18" s="13" t="s">
        <v>17</v>
      </c>
      <c r="C18" s="7">
        <v>1</v>
      </c>
      <c r="D18" s="10">
        <v>31000</v>
      </c>
      <c r="E18" s="10">
        <f t="shared" si="1"/>
        <v>31000</v>
      </c>
      <c r="F18" s="10"/>
    </row>
    <row r="19" spans="1:6" x14ac:dyDescent="0.25">
      <c r="A19" s="6"/>
      <c r="B19" s="13" t="s">
        <v>19</v>
      </c>
      <c r="C19" s="7">
        <v>3</v>
      </c>
      <c r="D19" s="10">
        <v>7000</v>
      </c>
      <c r="E19" s="10">
        <f t="shared" si="1"/>
        <v>21000</v>
      </c>
      <c r="F19" s="10"/>
    </row>
    <row r="20" spans="1:6" s="20" customFormat="1" x14ac:dyDescent="0.25">
      <c r="A20" s="6"/>
      <c r="B20" s="8" t="s">
        <v>56</v>
      </c>
      <c r="C20" s="7">
        <v>1</v>
      </c>
      <c r="D20" s="10">
        <v>0</v>
      </c>
      <c r="E20" s="10">
        <v>0</v>
      </c>
      <c r="F20" s="10"/>
    </row>
    <row r="21" spans="1:6" s="20" customFormat="1" x14ac:dyDescent="0.25">
      <c r="A21" s="6"/>
      <c r="B21" s="8" t="s">
        <v>57</v>
      </c>
      <c r="C21" s="7">
        <v>2</v>
      </c>
      <c r="D21" s="10">
        <v>0</v>
      </c>
      <c r="E21" s="10">
        <v>0</v>
      </c>
      <c r="F21" s="10"/>
    </row>
    <row r="22" spans="1:6" x14ac:dyDescent="0.25">
      <c r="A22" s="1"/>
      <c r="B22" s="2" t="s">
        <v>33</v>
      </c>
      <c r="C22" s="3"/>
      <c r="D22" s="11"/>
      <c r="E22" s="11">
        <f>SUM(E15:E20)</f>
        <v>822000</v>
      </c>
      <c r="F22" s="11"/>
    </row>
    <row r="23" spans="1:6" x14ac:dyDescent="0.25">
      <c r="A23" s="1"/>
      <c r="B23" s="2" t="s">
        <v>44</v>
      </c>
      <c r="C23" s="3"/>
      <c r="D23" s="11"/>
      <c r="E23" s="11">
        <f>E22/Справочник!B4</f>
        <v>164400</v>
      </c>
      <c r="F23" s="11">
        <f>E23*(1+Справочник!$B$2)</f>
        <v>164400</v>
      </c>
    </row>
    <row r="24" spans="1:6" s="20" customFormat="1" x14ac:dyDescent="0.25"/>
    <row r="25" spans="1:6" s="20" customFormat="1" x14ac:dyDescent="0.25">
      <c r="A25" s="8"/>
      <c r="B25" s="8" t="s">
        <v>24</v>
      </c>
      <c r="C25" s="7">
        <f>2*0.5*(1+30%)</f>
        <v>1.3</v>
      </c>
      <c r="D25" s="8"/>
      <c r="E25" s="8"/>
    </row>
    <row r="26" spans="1:6" x14ac:dyDescent="0.25">
      <c r="A26" s="8"/>
      <c r="B26" s="8" t="s">
        <v>23</v>
      </c>
      <c r="C26" s="7">
        <f>C25*24*365</f>
        <v>11388.000000000002</v>
      </c>
      <c r="D26" s="8"/>
      <c r="E26" s="10">
        <f>C26*Справочник!B5</f>
        <v>43502.16</v>
      </c>
    </row>
    <row r="27" spans="1:6" s="20" customFormat="1" x14ac:dyDescent="0.25">
      <c r="A27" s="8"/>
      <c r="B27" s="8" t="s">
        <v>27</v>
      </c>
      <c r="C27" s="7">
        <v>22</v>
      </c>
      <c r="D27" s="8"/>
      <c r="E27" s="10"/>
    </row>
    <row r="28" spans="1:6" x14ac:dyDescent="0.25">
      <c r="A28" s="8"/>
      <c r="B28" s="28" t="s">
        <v>28</v>
      </c>
      <c r="C28" s="9">
        <f>50000</f>
        <v>50000</v>
      </c>
      <c r="D28" s="19"/>
      <c r="E28" s="19"/>
    </row>
    <row r="29" spans="1:6" s="20" customFormat="1" x14ac:dyDescent="0.25">
      <c r="A29" s="8"/>
      <c r="B29" s="8" t="s">
        <v>30</v>
      </c>
      <c r="C29" s="10">
        <f>(1+IF(C28*12&lt;=568000,30%,10%))*C28*12</f>
        <v>660000.00000000012</v>
      </c>
      <c r="D29" s="19"/>
      <c r="E29" s="19"/>
    </row>
    <row r="30" spans="1:6" s="20" customFormat="1" x14ac:dyDescent="0.25">
      <c r="A30" s="8"/>
      <c r="B30" s="28" t="s">
        <v>25</v>
      </c>
      <c r="C30" s="27">
        <v>0.1</v>
      </c>
      <c r="D30" s="19"/>
      <c r="E30" s="19"/>
    </row>
    <row r="31" spans="1:6" x14ac:dyDescent="0.25">
      <c r="A31" s="8"/>
      <c r="B31" s="8" t="s">
        <v>29</v>
      </c>
      <c r="C31" s="21">
        <f>C27*C30</f>
        <v>2.2000000000000002</v>
      </c>
      <c r="D31" s="19"/>
      <c r="E31" s="19"/>
    </row>
    <row r="32" spans="1:6" s="20" customFormat="1" x14ac:dyDescent="0.25">
      <c r="A32" s="8"/>
      <c r="B32" s="8" t="s">
        <v>42</v>
      </c>
      <c r="C32" s="10">
        <f>C29*C30</f>
        <v>66000.000000000015</v>
      </c>
      <c r="D32" s="19"/>
      <c r="E32" s="22">
        <f>C32</f>
        <v>66000.000000000015</v>
      </c>
    </row>
    <row r="33" spans="1:5" x14ac:dyDescent="0.25">
      <c r="A33" s="8"/>
      <c r="B33" s="8" t="s">
        <v>26</v>
      </c>
      <c r="C33" s="19">
        <v>0</v>
      </c>
      <c r="D33" s="19"/>
      <c r="E33" s="19"/>
    </row>
    <row r="34" spans="1:5" x14ac:dyDescent="0.25">
      <c r="A34" s="1"/>
      <c r="B34" s="2" t="s">
        <v>44</v>
      </c>
      <c r="C34" s="3"/>
      <c r="D34" s="11"/>
      <c r="E34" s="11">
        <f>SUM(E25:E33)</f>
        <v>109502.16000000002</v>
      </c>
    </row>
    <row r="36" spans="1:5" x14ac:dyDescent="0.25">
      <c r="A36" s="1"/>
      <c r="B36" s="2" t="s">
        <v>45</v>
      </c>
      <c r="C36" s="3"/>
      <c r="D36" s="11"/>
      <c r="E36" s="11">
        <f>E11+E23+E34</f>
        <v>2005282.14</v>
      </c>
    </row>
    <row r="37" spans="1:5" x14ac:dyDescent="0.25">
      <c r="A37" s="11"/>
      <c r="B37" s="11" t="s">
        <v>46</v>
      </c>
      <c r="C37" s="11"/>
      <c r="D37" s="11"/>
      <c r="E37" s="11">
        <f>E36*(1+Справочник!B2)</f>
        <v>2005282.14</v>
      </c>
    </row>
    <row r="39" spans="1:5" x14ac:dyDescent="0.25">
      <c r="A39" s="19"/>
      <c r="B39" s="28" t="s">
        <v>38</v>
      </c>
      <c r="C39" s="9">
        <v>461</v>
      </c>
      <c r="D39" s="19"/>
      <c r="E39" s="19"/>
    </row>
    <row r="40" spans="1:5" x14ac:dyDescent="0.25">
      <c r="A40" s="19"/>
      <c r="B40" s="28" t="s">
        <v>39</v>
      </c>
      <c r="C40" s="9">
        <v>461</v>
      </c>
      <c r="D40" s="9">
        <v>472.6</v>
      </c>
      <c r="E40" s="19"/>
    </row>
    <row r="41" spans="1:5" s="20" customFormat="1" x14ac:dyDescent="0.25">
      <c r="A41" s="19"/>
      <c r="B41" s="8" t="s">
        <v>47</v>
      </c>
      <c r="C41" s="10">
        <f>Справочник!$B$1*12*C39</f>
        <v>1106400</v>
      </c>
      <c r="D41" s="19"/>
      <c r="E41" s="19"/>
    </row>
    <row r="42" spans="1:5" s="20" customFormat="1" x14ac:dyDescent="0.25">
      <c r="A42" s="19"/>
      <c r="B42" s="8" t="s">
        <v>48</v>
      </c>
      <c r="C42" s="10">
        <f>Справочник!$B$1*C40</f>
        <v>92200</v>
      </c>
      <c r="D42" s="19"/>
      <c r="E42" s="19"/>
    </row>
    <row r="43" spans="1:5" x14ac:dyDescent="0.25">
      <c r="A43" s="11"/>
      <c r="B43" s="11" t="s">
        <v>49</v>
      </c>
      <c r="C43" s="11"/>
      <c r="D43" s="11"/>
      <c r="E43" s="11">
        <f>C41*(1+Справочник!B2)</f>
        <v>1106400</v>
      </c>
    </row>
    <row r="44" spans="1:5" x14ac:dyDescent="0.25">
      <c r="A44" s="11"/>
      <c r="B44" s="11" t="s">
        <v>50</v>
      </c>
      <c r="C44" s="11"/>
      <c r="D44" s="11"/>
      <c r="E44" s="11">
        <f>FV(Справочник!B3,12,-C42)</f>
        <v>1106400</v>
      </c>
    </row>
    <row r="46" spans="1:5" s="20" customFormat="1" ht="30" x14ac:dyDescent="0.25">
      <c r="A46" s="19"/>
      <c r="B46" s="25"/>
      <c r="C46" s="26" t="s">
        <v>36</v>
      </c>
      <c r="D46" s="26" t="s">
        <v>37</v>
      </c>
      <c r="E46" s="26" t="s">
        <v>55</v>
      </c>
    </row>
    <row r="47" spans="1:5" s="20" customFormat="1" x14ac:dyDescent="0.25">
      <c r="A47" s="11"/>
      <c r="B47" s="11" t="s">
        <v>51</v>
      </c>
      <c r="C47" s="11">
        <f>$E$36</f>
        <v>2005282.14</v>
      </c>
      <c r="D47" s="11">
        <f>$C$41</f>
        <v>1106400</v>
      </c>
      <c r="E47" s="24">
        <f>C47-D47</f>
        <v>898882.1399999999</v>
      </c>
    </row>
    <row r="48" spans="1:5" s="20" customFormat="1" x14ac:dyDescent="0.25">
      <c r="A48" s="11"/>
      <c r="B48" s="11" t="s">
        <v>52</v>
      </c>
      <c r="C48" s="11">
        <f>$E$36</f>
        <v>2005282.14</v>
      </c>
      <c r="D48" s="11">
        <f>$C$42*12</f>
        <v>1106400</v>
      </c>
      <c r="E48" s="24">
        <f>C48-D48</f>
        <v>898882.1399999999</v>
      </c>
    </row>
    <row r="49" spans="1:6" ht="22.5" x14ac:dyDescent="0.25">
      <c r="A49" s="11"/>
      <c r="B49" s="11" t="s">
        <v>53</v>
      </c>
      <c r="C49" s="11">
        <f>$E$37</f>
        <v>2005282.14</v>
      </c>
      <c r="D49" s="11">
        <f>$E$43</f>
        <v>1106400</v>
      </c>
      <c r="E49" s="24">
        <f>C49-D49</f>
        <v>898882.1399999999</v>
      </c>
      <c r="F49" s="32">
        <f>D49-$F$5</f>
        <v>61808</v>
      </c>
    </row>
    <row r="50" spans="1:6" ht="14.25" customHeight="1" x14ac:dyDescent="0.25">
      <c r="A50" s="11"/>
      <c r="B50" s="11" t="s">
        <v>54</v>
      </c>
      <c r="C50" s="11">
        <f>$E$37</f>
        <v>2005282.14</v>
      </c>
      <c r="D50" s="11">
        <f>$E$44</f>
        <v>1106400</v>
      </c>
      <c r="E50" s="24">
        <f>C50-D50</f>
        <v>898882.1399999999</v>
      </c>
      <c r="F50" s="32">
        <f>D50-$F$5</f>
        <v>61808</v>
      </c>
    </row>
    <row r="52" spans="1:6" ht="30" x14ac:dyDescent="0.25">
      <c r="A52" s="19"/>
      <c r="B52" s="25"/>
      <c r="C52" s="26" t="s">
        <v>36</v>
      </c>
      <c r="D52" s="26" t="s">
        <v>37</v>
      </c>
      <c r="E52" s="26" t="s">
        <v>55</v>
      </c>
    </row>
    <row r="53" spans="1:6" x14ac:dyDescent="0.25">
      <c r="A53" s="11"/>
      <c r="B53" s="11" t="s">
        <v>58</v>
      </c>
      <c r="C53" s="11">
        <f>$E$36/Справочник!$B$1</f>
        <v>10026.4107</v>
      </c>
      <c r="D53" s="11">
        <f>$C$41/Справочник!$B$1</f>
        <v>5532</v>
      </c>
      <c r="E53" s="24">
        <f>C53-D53</f>
        <v>4494.4107000000004</v>
      </c>
    </row>
    <row r="54" spans="1:6" x14ac:dyDescent="0.25">
      <c r="A54" s="11"/>
      <c r="B54" s="11" t="s">
        <v>59</v>
      </c>
      <c r="C54" s="11">
        <f>$E$36/Справочник!$B$1</f>
        <v>10026.4107</v>
      </c>
      <c r="D54" s="11">
        <f>$C$42*12/Справочник!$B$1</f>
        <v>5532</v>
      </c>
      <c r="E54" s="24">
        <f>C54-D54</f>
        <v>4494.4107000000004</v>
      </c>
    </row>
    <row r="55" spans="1:6" ht="22.5" x14ac:dyDescent="0.25">
      <c r="A55" s="11"/>
      <c r="B55" s="11" t="s">
        <v>60</v>
      </c>
      <c r="C55" s="11">
        <f>$E$37/Справочник!$B$1</f>
        <v>10026.4107</v>
      </c>
      <c r="D55" s="11">
        <f>$E$43/Справочник!$B$1</f>
        <v>5532</v>
      </c>
      <c r="E55" s="24">
        <f>C55-D55</f>
        <v>4494.4107000000004</v>
      </c>
    </row>
    <row r="56" spans="1:6" ht="22.5" x14ac:dyDescent="0.25">
      <c r="A56" s="11"/>
      <c r="B56" s="11" t="s">
        <v>61</v>
      </c>
      <c r="C56" s="11">
        <f>$E$37/Справочник!$B$1</f>
        <v>10026.4107</v>
      </c>
      <c r="D56" s="11">
        <f>$E$44/Справочник!$B$1</f>
        <v>5532</v>
      </c>
      <c r="E56" s="24">
        <f>C56-D56</f>
        <v>4494.4107000000004</v>
      </c>
    </row>
    <row r="58" spans="1:6" x14ac:dyDescent="0.25">
      <c r="A58" s="19"/>
      <c r="B58" s="34" t="s">
        <v>63</v>
      </c>
      <c r="C58" s="33">
        <f>5000*2*12</f>
        <v>120000</v>
      </c>
      <c r="D58" s="19"/>
      <c r="E58" s="19">
        <v>0</v>
      </c>
    </row>
    <row r="59" spans="1:6" x14ac:dyDescent="0.25">
      <c r="A59" s="19"/>
      <c r="B59" s="34" t="s">
        <v>64</v>
      </c>
      <c r="C59" s="19">
        <v>0</v>
      </c>
      <c r="D59" s="19"/>
      <c r="E59" s="19">
        <v>0</v>
      </c>
    </row>
    <row r="60" spans="1:6" x14ac:dyDescent="0.25">
      <c r="A60" s="19"/>
      <c r="B60" s="34" t="s">
        <v>65</v>
      </c>
      <c r="C60" s="19">
        <v>0</v>
      </c>
      <c r="D60" s="19"/>
      <c r="E60" s="19">
        <v>0</v>
      </c>
    </row>
    <row r="61" spans="1:6" s="20" customFormat="1" x14ac:dyDescent="0.25">
      <c r="A61" s="40"/>
      <c r="B61" s="35"/>
      <c r="C61" s="40"/>
      <c r="D61" s="40"/>
      <c r="E61" s="40"/>
    </row>
    <row r="62" spans="1:6" x14ac:dyDescent="0.25">
      <c r="A62" s="73" t="s">
        <v>73</v>
      </c>
      <c r="B62" s="72"/>
      <c r="C62" s="72"/>
      <c r="D62" s="72"/>
      <c r="E62" s="72"/>
    </row>
    <row r="63" spans="1:6" x14ac:dyDescent="0.25">
      <c r="A63" s="19"/>
      <c r="B63" s="34" t="s">
        <v>67</v>
      </c>
      <c r="C63" s="38">
        <f>1024*1024</f>
        <v>1048576</v>
      </c>
      <c r="D63" s="34"/>
      <c r="E63" s="19"/>
    </row>
    <row r="64" spans="1:6" x14ac:dyDescent="0.25">
      <c r="A64" s="19"/>
      <c r="B64" s="34" t="s">
        <v>66</v>
      </c>
      <c r="C64" s="19">
        <v>20</v>
      </c>
      <c r="D64" s="34"/>
      <c r="E64" s="19"/>
    </row>
    <row r="65" spans="1:5" x14ac:dyDescent="0.25">
      <c r="A65" s="19"/>
      <c r="B65" s="34" t="s">
        <v>68</v>
      </c>
      <c r="C65" s="19">
        <f>C64/8</f>
        <v>2.5</v>
      </c>
      <c r="D65" s="34"/>
      <c r="E65" s="19"/>
    </row>
    <row r="66" spans="1:5" s="20" customFormat="1" x14ac:dyDescent="0.25">
      <c r="A66" s="19"/>
      <c r="B66" s="34" t="s">
        <v>72</v>
      </c>
      <c r="C66" s="39">
        <v>0.9</v>
      </c>
      <c r="D66" s="34"/>
      <c r="E66" s="19"/>
    </row>
    <row r="67" spans="1:5" s="20" customFormat="1" x14ac:dyDescent="0.25">
      <c r="A67" s="19"/>
      <c r="B67" s="34" t="s">
        <v>71</v>
      </c>
      <c r="C67" s="19">
        <f>C65*C66</f>
        <v>2.25</v>
      </c>
      <c r="D67" s="34"/>
      <c r="E67" s="19"/>
    </row>
    <row r="68" spans="1:5" x14ac:dyDescent="0.25">
      <c r="A68" s="19"/>
      <c r="B68" s="34" t="s">
        <v>69</v>
      </c>
      <c r="C68" s="36">
        <f>C63/C67/3600</f>
        <v>129.45382716049383</v>
      </c>
      <c r="D68" s="34"/>
      <c r="E68" s="19"/>
    </row>
    <row r="69" spans="1:5" x14ac:dyDescent="0.25">
      <c r="A69" s="19"/>
      <c r="B69" s="34" t="s">
        <v>70</v>
      </c>
      <c r="C69" s="36">
        <f>C68/24</f>
        <v>5.3939094650205766</v>
      </c>
      <c r="D69" s="34"/>
      <c r="E69" s="19"/>
    </row>
    <row r="70" spans="1:5" s="20" customFormat="1" x14ac:dyDescent="0.25">
      <c r="A70" s="19"/>
      <c r="B70" s="34" t="s">
        <v>75</v>
      </c>
      <c r="C70" s="37">
        <v>14</v>
      </c>
      <c r="D70" s="34"/>
      <c r="E70" s="19"/>
    </row>
    <row r="71" spans="1:5" x14ac:dyDescent="0.25">
      <c r="A71" s="19"/>
      <c r="B71" s="34" t="s">
        <v>74</v>
      </c>
      <c r="C71" s="36">
        <f>C68/C70</f>
        <v>9.2467019400352743</v>
      </c>
      <c r="D71" s="34"/>
      <c r="E71" s="19"/>
    </row>
  </sheetData>
  <mergeCells count="3">
    <mergeCell ref="A2:E2"/>
    <mergeCell ref="A13:E13"/>
    <mergeCell ref="A62:E62"/>
  </mergeCells>
  <hyperlinks>
    <hyperlink ref="B18" r:id="rId1" display="http://market.yandex.ru/model.xml?modelid=7689462&amp;hid=91033"/>
    <hyperlink ref="B19" r:id="rId2" display="http://market.yandex.ru/model.xml?modelid=7956418&amp;hid=91033"/>
  </hyperlinks>
  <pageMargins left="0.7" right="0.7" top="0.75" bottom="0.75" header="0.3" footer="0.3"/>
  <pageSetup paperSize="9" orientation="portrait" horizontalDpi="4294967295" verticalDpi="4294967295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>
      <selection activeCell="C4" sqref="C4"/>
    </sheetView>
  </sheetViews>
  <sheetFormatPr defaultColWidth="26.85546875" defaultRowHeight="15" x14ac:dyDescent="0.25"/>
  <cols>
    <col min="1" max="1" width="13.85546875" bestFit="1" customWidth="1"/>
    <col min="2" max="2" width="65" customWidth="1"/>
    <col min="3" max="3" width="12.85546875" customWidth="1"/>
    <col min="4" max="4" width="9.85546875" bestFit="1" customWidth="1"/>
    <col min="5" max="5" width="18" bestFit="1" customWidth="1"/>
    <col min="6" max="6" width="23.5703125" bestFit="1" customWidth="1"/>
    <col min="7" max="8" width="0" hidden="1" customWidth="1"/>
  </cols>
  <sheetData>
    <row r="1" spans="1:8" x14ac:dyDescent="0.25">
      <c r="A1" s="74" t="s">
        <v>89</v>
      </c>
      <c r="B1" s="74"/>
      <c r="C1" s="74"/>
      <c r="D1" s="74"/>
      <c r="E1" s="74"/>
      <c r="F1" s="74"/>
    </row>
    <row r="3" spans="1:8" ht="21" x14ac:dyDescent="0.25">
      <c r="A3" s="4" t="s">
        <v>1</v>
      </c>
      <c r="B3" s="5" t="s">
        <v>2</v>
      </c>
      <c r="C3" s="5" t="s">
        <v>3</v>
      </c>
      <c r="D3" s="9" t="s">
        <v>4</v>
      </c>
      <c r="E3" s="9" t="s">
        <v>21</v>
      </c>
      <c r="F3" s="9" t="s">
        <v>62</v>
      </c>
    </row>
    <row r="4" spans="1:8" x14ac:dyDescent="0.25">
      <c r="A4" s="6" t="s">
        <v>76</v>
      </c>
      <c r="B4" s="8" t="s">
        <v>77</v>
      </c>
      <c r="C4" s="7">
        <f>Справочник!$B$1</f>
        <v>200</v>
      </c>
      <c r="D4" s="10">
        <v>7125.96</v>
      </c>
      <c r="E4" s="10">
        <f>C4*D4</f>
        <v>1425192</v>
      </c>
      <c r="F4" s="10">
        <f>E4*(1+Справочник!$B$2)</f>
        <v>1425192</v>
      </c>
    </row>
    <row r="5" spans="1:8" x14ac:dyDescent="0.25">
      <c r="A5" s="42" t="s">
        <v>78</v>
      </c>
      <c r="B5" s="44" t="s">
        <v>79</v>
      </c>
      <c r="C5" s="43">
        <v>1</v>
      </c>
      <c r="D5" s="45">
        <v>12174</v>
      </c>
      <c r="E5" s="45">
        <f xml:space="preserve"> C5*D5</f>
        <v>12174</v>
      </c>
      <c r="F5" s="10">
        <f>E5*(1+Справочник!$B$2)</f>
        <v>12174</v>
      </c>
    </row>
    <row r="6" spans="1:8" x14ac:dyDescent="0.25">
      <c r="A6" s="42" t="s">
        <v>80</v>
      </c>
      <c r="B6" s="44" t="s">
        <v>81</v>
      </c>
      <c r="C6" s="7">
        <f>Справочник!$B$1</f>
        <v>200</v>
      </c>
      <c r="D6" s="45">
        <v>1334</v>
      </c>
      <c r="E6" s="45">
        <f xml:space="preserve"> C6*D6</f>
        <v>266800</v>
      </c>
      <c r="F6" s="10">
        <f>E6*(1+Справочник!$B$2)</f>
        <v>266800</v>
      </c>
    </row>
    <row r="7" spans="1:8" s="20" customFormat="1" x14ac:dyDescent="0.25">
      <c r="A7" s="42" t="s">
        <v>91</v>
      </c>
      <c r="B7" s="44" t="s">
        <v>90</v>
      </c>
      <c r="C7" s="7">
        <f>Справочник!$B$1</f>
        <v>200</v>
      </c>
      <c r="D7" s="45">
        <v>569.75</v>
      </c>
      <c r="E7" s="45">
        <f xml:space="preserve"> C7*D7</f>
        <v>113950</v>
      </c>
      <c r="F7" s="10">
        <f>E7*(1+Справочник!$B$2)</f>
        <v>113950</v>
      </c>
    </row>
    <row r="8" spans="1:8" ht="21" x14ac:dyDescent="0.25">
      <c r="A8" s="6" t="s">
        <v>40</v>
      </c>
      <c r="B8" s="8" t="s">
        <v>41</v>
      </c>
      <c r="C8" s="7">
        <f>Справочник!$B$1</f>
        <v>200</v>
      </c>
      <c r="D8" s="10">
        <v>912</v>
      </c>
      <c r="E8" s="10">
        <f>C8*D8/2</f>
        <v>91200</v>
      </c>
      <c r="F8" s="10">
        <f>E8*(1+Справочник!$B$2)</f>
        <v>91200</v>
      </c>
    </row>
    <row r="9" spans="1:8" x14ac:dyDescent="0.25">
      <c r="A9" s="1"/>
      <c r="B9" s="2" t="s">
        <v>43</v>
      </c>
      <c r="C9" s="3"/>
      <c r="D9" s="11"/>
      <c r="E9" s="11">
        <f>SUM(E4:E8)</f>
        <v>1909316</v>
      </c>
      <c r="F9" s="11">
        <f>E9*(1+$C$2)</f>
        <v>1909316</v>
      </c>
    </row>
    <row r="11" spans="1:8" x14ac:dyDescent="0.25">
      <c r="A11" s="42" t="s">
        <v>82</v>
      </c>
      <c r="B11" s="44" t="s">
        <v>83</v>
      </c>
      <c r="C11" s="7">
        <f>Справочник!$B$1</f>
        <v>200</v>
      </c>
      <c r="D11" s="45">
        <v>3912</v>
      </c>
      <c r="E11" s="45">
        <f xml:space="preserve"> C11*D11</f>
        <v>782400</v>
      </c>
      <c r="F11" s="10">
        <f>E11*(1+Справочник!$B$2)</f>
        <v>782400</v>
      </c>
    </row>
    <row r="12" spans="1:8" x14ac:dyDescent="0.25">
      <c r="B12" s="2" t="s">
        <v>43</v>
      </c>
      <c r="C12" s="3"/>
      <c r="D12" s="11"/>
      <c r="E12" s="11">
        <f>SUM(E4:E5)+E8+E11</f>
        <v>2310966</v>
      </c>
      <c r="F12" s="11">
        <f>E12*(1+Справочник!$B$2)</f>
        <v>2310966</v>
      </c>
    </row>
    <row r="14" spans="1:8" s="20" customFormat="1" x14ac:dyDescent="0.25">
      <c r="A14" s="42" t="s">
        <v>109</v>
      </c>
      <c r="B14" s="44" t="s">
        <v>110</v>
      </c>
      <c r="C14" s="7">
        <f>Справочник!$B$1</f>
        <v>200</v>
      </c>
      <c r="D14" s="45">
        <v>6386</v>
      </c>
      <c r="E14" s="45">
        <f xml:space="preserve"> C14*D14</f>
        <v>1277200</v>
      </c>
      <c r="G14" s="19">
        <v>1</v>
      </c>
      <c r="H14" s="50">
        <f>E9*(1+Справочник!$B$2)</f>
        <v>1909316</v>
      </c>
    </row>
    <row r="15" spans="1:8" s="20" customFormat="1" x14ac:dyDescent="0.25">
      <c r="A15" s="49"/>
      <c r="B15" s="60"/>
      <c r="C15" s="61"/>
      <c r="D15" s="62"/>
      <c r="E15" s="62"/>
      <c r="G15" s="19"/>
      <c r="H15" s="50"/>
    </row>
    <row r="16" spans="1:8" s="20" customFormat="1" x14ac:dyDescent="0.25">
      <c r="B16" s="47" t="s">
        <v>84</v>
      </c>
      <c r="C16" s="20">
        <v>3</v>
      </c>
      <c r="G16" s="19">
        <v>2</v>
      </c>
      <c r="H16" s="50">
        <f>(H14+$E$9)*(1+Справочник!$B$2)</f>
        <v>3818632</v>
      </c>
    </row>
    <row r="17" spans="1:10" s="20" customFormat="1" x14ac:dyDescent="0.25">
      <c r="B17" s="47"/>
      <c r="G17" s="19"/>
      <c r="H17" s="50"/>
    </row>
    <row r="18" spans="1:10" x14ac:dyDescent="0.25">
      <c r="B18" s="47" t="s">
        <v>87</v>
      </c>
      <c r="E18" s="48">
        <f>FV(Справочник!$B$2,$C$16,-'Office 365 vs OV'!$E$9,0,1)</f>
        <v>5727948</v>
      </c>
      <c r="G18" s="19">
        <v>3</v>
      </c>
      <c r="H18" s="50">
        <f>(H16+$E$9)*(1+Справочник!$B$2)</f>
        <v>5727948</v>
      </c>
    </row>
    <row r="19" spans="1:10" x14ac:dyDescent="0.25">
      <c r="B19" s="47" t="s">
        <v>88</v>
      </c>
      <c r="E19" s="48">
        <f>FV(Справочник!$B$2,$C$16,-'Office 365 vs OV'!$E$12,0,1)</f>
        <v>6932898</v>
      </c>
      <c r="H19" s="50"/>
    </row>
    <row r="20" spans="1:10" s="20" customFormat="1" x14ac:dyDescent="0.25">
      <c r="B20" s="75" t="s">
        <v>100</v>
      </c>
      <c r="C20" s="76"/>
      <c r="D20" s="77"/>
      <c r="E20" s="11">
        <f>'Office 365 vs OVS'!$C$41*$C$16</f>
        <v>3319200</v>
      </c>
      <c r="H20" s="51"/>
    </row>
    <row r="21" spans="1:10" x14ac:dyDescent="0.25">
      <c r="B21" s="75" t="s">
        <v>86</v>
      </c>
      <c r="C21" s="76"/>
      <c r="D21" s="77"/>
      <c r="E21" s="11">
        <f>FV(Справочник!$B$2,$C$16,-'Office 365 vs OVS'!$C$41,0,1)</f>
        <v>3319200</v>
      </c>
      <c r="H21" s="46"/>
    </row>
    <row r="22" spans="1:10" x14ac:dyDescent="0.25">
      <c r="B22" s="75" t="s">
        <v>85</v>
      </c>
      <c r="C22" s="76"/>
      <c r="D22" s="77"/>
      <c r="E22" s="11">
        <f>FV(Справочник!$B$3,$C$16*12,-'Office 365 vs OVS'!$C$42,0,0)</f>
        <v>3319200</v>
      </c>
    </row>
    <row r="24" spans="1:10" ht="21" x14ac:dyDescent="0.25">
      <c r="A24" s="4" t="s">
        <v>1</v>
      </c>
      <c r="B24" s="5" t="s">
        <v>2</v>
      </c>
      <c r="C24" s="5" t="s">
        <v>3</v>
      </c>
      <c r="D24" s="9" t="s">
        <v>4</v>
      </c>
      <c r="E24" s="9" t="s">
        <v>21</v>
      </c>
      <c r="F24" s="9" t="s">
        <v>62</v>
      </c>
    </row>
    <row r="25" spans="1:10" x14ac:dyDescent="0.25">
      <c r="A25" s="6" t="s">
        <v>76</v>
      </c>
      <c r="B25" s="8" t="s">
        <v>77</v>
      </c>
      <c r="C25" s="7">
        <f>Справочник!$B$1</f>
        <v>200</v>
      </c>
      <c r="D25" s="10">
        <v>7125.96</v>
      </c>
      <c r="E25" s="10">
        <f t="shared" ref="E25" si="0">C25*D25</f>
        <v>1425192</v>
      </c>
      <c r="F25" s="10">
        <f>E25*(1+Справочник!$B$2)</f>
        <v>1425192</v>
      </c>
    </row>
    <row r="26" spans="1:10" x14ac:dyDescent="0.25">
      <c r="A26" s="3"/>
      <c r="B26" s="2" t="s">
        <v>43</v>
      </c>
      <c r="C26" s="3"/>
      <c r="D26" s="11"/>
      <c r="E26" s="11">
        <f>SUM(E25)</f>
        <v>1425192</v>
      </c>
      <c r="F26" s="11">
        <f>E26*(1+$C$2)</f>
        <v>1425192</v>
      </c>
      <c r="I26" s="53"/>
    </row>
    <row r="27" spans="1:10" s="20" customFormat="1" x14ac:dyDescent="0.25">
      <c r="A27" s="3"/>
      <c r="B27" s="52" t="s">
        <v>113</v>
      </c>
      <c r="C27" s="52"/>
      <c r="D27" s="52"/>
      <c r="E27" s="11">
        <f>IF(C16&lt;=3,E26*C16,E26*3+E14*(C16-3))</f>
        <v>4275576</v>
      </c>
      <c r="F27" s="11"/>
    </row>
    <row r="28" spans="1:10" hidden="1" x14ac:dyDescent="0.25">
      <c r="A28" s="3"/>
      <c r="B28" s="52" t="s">
        <v>112</v>
      </c>
      <c r="C28" s="3"/>
      <c r="D28" s="3"/>
      <c r="E28" s="11">
        <f>IF(C16&lt;=3,FV(Справочник!$B$2,$C$16,-'Office 365 vs OV'!$E$26,0,1),FV(Справочник!$B$2,3,-'Office 365 vs OV'!$E$26,0,1))</f>
        <v>4275576</v>
      </c>
      <c r="F28" s="3"/>
      <c r="I28" s="53"/>
    </row>
    <row r="29" spans="1:10" x14ac:dyDescent="0.25">
      <c r="A29" s="3"/>
      <c r="B29" s="52" t="s">
        <v>114</v>
      </c>
      <c r="C29" s="3"/>
      <c r="D29" s="3"/>
      <c r="E29" s="11">
        <f>$E$28*POWER(1+Справочник!$B$2,$C$16-3)+IF($C$16&lt;=3,0,FV(Справочник!$B$2,$C$16-3, -($E$14),0,1))</f>
        <v>4275576</v>
      </c>
      <c r="F29" s="3"/>
    </row>
    <row r="30" spans="1:10" x14ac:dyDescent="0.25">
      <c r="F30" s="46"/>
    </row>
    <row r="31" spans="1:10" x14ac:dyDescent="0.25">
      <c r="B31" s="83" t="s">
        <v>122</v>
      </c>
      <c r="C31" s="7">
        <f>Справочник!$B$1</f>
        <v>200</v>
      </c>
      <c r="D31">
        <v>3314.29</v>
      </c>
      <c r="E31" s="10">
        <f t="shared" ref="E31" si="1">C31*D31</f>
        <v>662858</v>
      </c>
    </row>
    <row r="32" spans="1:10" x14ac:dyDescent="0.25">
      <c r="J32">
        <f>E26*(1+Справочник!B2)</f>
        <v>1425192</v>
      </c>
    </row>
    <row r="33" spans="10:10" x14ac:dyDescent="0.25">
      <c r="J33" s="20">
        <f>($E$26+J32)*(1+Справочник!$B$2)</f>
        <v>2850384</v>
      </c>
    </row>
    <row r="34" spans="10:10" x14ac:dyDescent="0.25">
      <c r="J34" s="20">
        <f>($E$26+J33)*(1+Справочник!$B$2)</f>
        <v>4275576</v>
      </c>
    </row>
    <row r="35" spans="10:10" x14ac:dyDescent="0.25">
      <c r="J35" s="20">
        <f>($E$14+J34)*(1+Справочник!$B$2)</f>
        <v>5552776</v>
      </c>
    </row>
    <row r="36" spans="10:10" x14ac:dyDescent="0.25">
      <c r="J36" s="20">
        <f>($E$14+J35)*(1+Справочник!$B$2)</f>
        <v>6829976</v>
      </c>
    </row>
    <row r="37" spans="10:10" x14ac:dyDescent="0.25">
      <c r="J37" s="20">
        <f>($E$14+J36)*(1+Справочник!$B$2)</f>
        <v>8107176</v>
      </c>
    </row>
  </sheetData>
  <mergeCells count="4">
    <mergeCell ref="A1:F1"/>
    <mergeCell ref="B21:D21"/>
    <mergeCell ref="B22:D22"/>
    <mergeCell ref="B20:D20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1"/>
  <sheetViews>
    <sheetView tabSelected="1" topLeftCell="A19" workbookViewId="0">
      <selection activeCell="N47" sqref="N47"/>
    </sheetView>
  </sheetViews>
  <sheetFormatPr defaultRowHeight="15" x14ac:dyDescent="0.25"/>
  <cols>
    <col min="1" max="1" width="8.42578125" bestFit="1" customWidth="1"/>
    <col min="2" max="2" width="47.5703125" customWidth="1"/>
    <col min="3" max="3" width="6.85546875" customWidth="1"/>
    <col min="4" max="4" width="9.85546875" bestFit="1" customWidth="1"/>
    <col min="5" max="5" width="15.28515625" bestFit="1" customWidth="1"/>
    <col min="6" max="6" width="30.42578125" customWidth="1"/>
    <col min="7" max="7" width="12.85546875" hidden="1" customWidth="1"/>
    <col min="8" max="8" width="4.140625" bestFit="1" customWidth="1"/>
    <col min="9" max="9" width="12" hidden="1" customWidth="1"/>
    <col min="10" max="10" width="16.140625" customWidth="1"/>
    <col min="11" max="11" width="13.7109375" hidden="1" customWidth="1"/>
    <col min="12" max="12" width="17.42578125" bestFit="1" customWidth="1"/>
    <col min="13" max="13" width="13.7109375" hidden="1" customWidth="1"/>
    <col min="14" max="15" width="14.7109375" bestFit="1" customWidth="1"/>
    <col min="16" max="16" width="17.85546875" customWidth="1"/>
    <col min="17" max="17" width="14.7109375" bestFit="1" customWidth="1"/>
  </cols>
  <sheetData>
    <row r="2" spans="1:17" x14ac:dyDescent="0.25">
      <c r="A2" s="78" t="s">
        <v>101</v>
      </c>
      <c r="B2" s="79"/>
      <c r="C2" s="79"/>
      <c r="D2" s="79"/>
      <c r="E2" s="79"/>
      <c r="F2" s="54"/>
    </row>
    <row r="3" spans="1:17" x14ac:dyDescent="0.25">
      <c r="A3" s="55"/>
      <c r="B3" s="54"/>
      <c r="C3" s="54"/>
      <c r="D3" s="54"/>
      <c r="E3" s="54"/>
      <c r="F3" s="54"/>
    </row>
    <row r="4" spans="1:17" x14ac:dyDescent="0.25">
      <c r="A4" s="56" t="s">
        <v>1</v>
      </c>
      <c r="B4" s="57" t="s">
        <v>2</v>
      </c>
      <c r="C4" s="57" t="s">
        <v>3</v>
      </c>
      <c r="D4" s="58" t="s">
        <v>4</v>
      </c>
      <c r="E4" s="58" t="s">
        <v>102</v>
      </c>
      <c r="F4" s="54"/>
    </row>
    <row r="5" spans="1:17" x14ac:dyDescent="0.25">
      <c r="A5" s="42" t="s">
        <v>103</v>
      </c>
      <c r="B5" s="44" t="s">
        <v>104</v>
      </c>
      <c r="C5" s="7">
        <f>Справочник!$B$1</f>
        <v>200</v>
      </c>
      <c r="D5" s="45">
        <v>11016</v>
      </c>
      <c r="E5" s="45">
        <f xml:space="preserve"> C5*D5</f>
        <v>2203200</v>
      </c>
      <c r="F5" s="59" t="s">
        <v>105</v>
      </c>
    </row>
    <row r="6" spans="1:17" x14ac:dyDescent="0.25">
      <c r="A6" s="42" t="s">
        <v>106</v>
      </c>
      <c r="B6" s="44" t="s">
        <v>107</v>
      </c>
      <c r="C6" s="7">
        <f>Справочник!$B$1</f>
        <v>200</v>
      </c>
      <c r="D6" s="45">
        <v>17402</v>
      </c>
      <c r="E6" s="45">
        <f xml:space="preserve"> C6*D6</f>
        <v>3480400</v>
      </c>
      <c r="F6" s="59" t="s">
        <v>108</v>
      </c>
    </row>
    <row r="7" spans="1:17" x14ac:dyDescent="0.25">
      <c r="A7" s="42" t="s">
        <v>109</v>
      </c>
      <c r="B7" s="44" t="s">
        <v>110</v>
      </c>
      <c r="C7" s="7">
        <f>Справочник!$B$1</f>
        <v>200</v>
      </c>
      <c r="D7" s="45">
        <v>6386</v>
      </c>
      <c r="E7" s="45">
        <f xml:space="preserve"> C7*D7</f>
        <v>1277200</v>
      </c>
      <c r="F7" s="59" t="s">
        <v>111</v>
      </c>
    </row>
    <row r="8" spans="1:17" s="20" customFormat="1" x14ac:dyDescent="0.25">
      <c r="B8" s="63"/>
      <c r="C8" s="64"/>
      <c r="D8" s="65"/>
      <c r="E8" s="65"/>
    </row>
    <row r="9" spans="1:17" s="20" customFormat="1" x14ac:dyDescent="0.25">
      <c r="B9" s="47" t="s">
        <v>84</v>
      </c>
      <c r="C9" s="20">
        <v>6</v>
      </c>
      <c r="D9" s="66"/>
      <c r="E9" s="66"/>
    </row>
    <row r="10" spans="1:17" s="20" customFormat="1" x14ac:dyDescent="0.25">
      <c r="B10" s="47" t="s">
        <v>117</v>
      </c>
      <c r="C10" s="20">
        <v>4</v>
      </c>
      <c r="D10" s="66"/>
      <c r="E10" s="66"/>
    </row>
    <row r="11" spans="1:17" x14ac:dyDescent="0.25">
      <c r="B11" s="80" t="s">
        <v>115</v>
      </c>
      <c r="C11" s="81"/>
      <c r="D11" s="82"/>
      <c r="E11" s="11">
        <f>E5*POWER((1+Справочник!$B$2),$C$9)</f>
        <v>2203200</v>
      </c>
    </row>
    <row r="12" spans="1:17" hidden="1" x14ac:dyDescent="0.25">
      <c r="B12" s="80" t="s">
        <v>116</v>
      </c>
      <c r="C12" s="81"/>
      <c r="D12" s="82"/>
      <c r="E12" s="11">
        <f>$E$6*POWER((1+Справочник!$B$2),$C$9)</f>
        <v>3480400</v>
      </c>
    </row>
    <row r="13" spans="1:17" ht="15" customHeight="1" x14ac:dyDescent="0.25">
      <c r="B13" s="75" t="s">
        <v>100</v>
      </c>
      <c r="C13" s="76"/>
      <c r="D13" s="77"/>
      <c r="E13" s="11">
        <f>'Office 365 vs OVS'!$C$41*$C$9</f>
        <v>6638400</v>
      </c>
    </row>
    <row r="14" spans="1:17" ht="28.5" customHeight="1" x14ac:dyDescent="0.25">
      <c r="B14" s="75" t="s">
        <v>86</v>
      </c>
      <c r="C14" s="76"/>
      <c r="D14" s="77"/>
      <c r="E14" s="11">
        <f>FV(Справочник!$B$2,$C$9,-'Office 365 vs OVS'!$C$41,0,1)</f>
        <v>6638400</v>
      </c>
    </row>
    <row r="15" spans="1:17" ht="23.25" customHeight="1" x14ac:dyDescent="0.25">
      <c r="B15" s="75" t="s">
        <v>85</v>
      </c>
      <c r="C15" s="76"/>
      <c r="D15" s="77"/>
      <c r="E15" s="11">
        <f>FV(Справочник!$B$3,$C$9*12,-'Office 365 vs OVS'!$C$42,0,0)</f>
        <v>6638400</v>
      </c>
    </row>
    <row r="16" spans="1:17" ht="60" x14ac:dyDescent="0.25">
      <c r="H16" s="23" t="s">
        <v>125</v>
      </c>
      <c r="I16" s="67"/>
      <c r="J16" s="68" t="s">
        <v>120</v>
      </c>
      <c r="K16" s="68" t="s">
        <v>118</v>
      </c>
      <c r="L16" s="68" t="s">
        <v>119</v>
      </c>
      <c r="M16" s="68" t="s">
        <v>121</v>
      </c>
      <c r="N16" s="68" t="s">
        <v>123</v>
      </c>
      <c r="O16" s="68" t="s">
        <v>124</v>
      </c>
      <c r="P16" s="68" t="s">
        <v>126</v>
      </c>
      <c r="Q16" s="68" t="s">
        <v>127</v>
      </c>
    </row>
    <row r="17" spans="8:17" x14ac:dyDescent="0.25">
      <c r="H17" s="19">
        <v>1</v>
      </c>
      <c r="I17" s="85">
        <f>($E$5+$E$7)*(1+Справочник!$B$2)</f>
        <v>3480400</v>
      </c>
      <c r="J17" s="22">
        <f>($E$5+$K17)*(1+Справочник!$B$2)</f>
        <v>3480400</v>
      </c>
      <c r="K17" s="45">
        <f t="shared" ref="K17:K31" si="0">IF((H17-1)/2=ROUND((H17-1)/2,0),$E$7,0)</f>
        <v>1277200</v>
      </c>
      <c r="L17" s="22">
        <f>($E$5+M17)*(1+Справочник!$B$2)</f>
        <v>2203200</v>
      </c>
      <c r="M17" s="22">
        <f t="shared" ref="M17:M31" si="1">IF(H17/$C$10=ROUND(H17/$C$10,0),$E$5,0)</f>
        <v>0</v>
      </c>
      <c r="N17" s="22">
        <f>'Office 365 vs OV'!$E$25*(1+Справочник!$B$2)</f>
        <v>1425192</v>
      </c>
      <c r="O17" s="22">
        <f>'Office 365 vs OVS'!$E$5*(1+Справочник!$B$2)</f>
        <v>1044592</v>
      </c>
      <c r="P17" s="22">
        <f>'Office 365 vs OVS'!$C$41*(1+Справочник!$B$2)</f>
        <v>1106400</v>
      </c>
      <c r="Q17" s="22">
        <f>FV(Справочник!$B$3,$H17*12,-'Office 365 vs OVS'!$C$42,0,0)</f>
        <v>1106400</v>
      </c>
    </row>
    <row r="18" spans="8:17" x14ac:dyDescent="0.25">
      <c r="H18" s="19">
        <v>2</v>
      </c>
      <c r="I18" s="85">
        <f>I17*(1+Справочник!$B$2)</f>
        <v>3480400</v>
      </c>
      <c r="J18" s="22">
        <f>($J17+$K18)*(1+Справочник!$B$2)</f>
        <v>3480400</v>
      </c>
      <c r="K18" s="45">
        <f t="shared" si="0"/>
        <v>0</v>
      </c>
      <c r="L18" s="22">
        <f>($L17+M18)*(1+Справочник!$B$2)</f>
        <v>2203200</v>
      </c>
      <c r="M18" s="22">
        <f t="shared" si="1"/>
        <v>0</v>
      </c>
      <c r="N18" s="22">
        <f>('Office 365 vs OV'!$E$25+N17)*(1+Справочник!$B$2)</f>
        <v>2850384</v>
      </c>
      <c r="O18" s="22">
        <f>('Office 365 vs OVS'!$E$5+O17)*(1+Справочник!$B$2)</f>
        <v>2089184</v>
      </c>
      <c r="P18" s="22">
        <f>(P17+'Office 365 vs OVS'!$C$41)*(1+Справочник!$B$2)</f>
        <v>2212800</v>
      </c>
      <c r="Q18" s="22">
        <f>FV(Справочник!$B$3,$H18*12,-'Office 365 vs OVS'!$C$42,0,0)</f>
        <v>2212800</v>
      </c>
    </row>
    <row r="19" spans="8:17" x14ac:dyDescent="0.25">
      <c r="H19" s="19">
        <v>3</v>
      </c>
      <c r="I19" s="85">
        <f>($E$7+I18)*(1+Справочник!$B$2)</f>
        <v>4757600</v>
      </c>
      <c r="J19" s="22">
        <f>($J18+$K19)*(1+Справочник!$B$2)</f>
        <v>4757600</v>
      </c>
      <c r="K19" s="45">
        <f t="shared" si="0"/>
        <v>1277200</v>
      </c>
      <c r="L19" s="22">
        <f>($L18+M19)*(1+Справочник!$B$2)</f>
        <v>2203200</v>
      </c>
      <c r="M19" s="22">
        <f t="shared" si="1"/>
        <v>0</v>
      </c>
      <c r="N19" s="22">
        <f>('Office 365 vs OV'!$E$25+N18)*(1+Справочник!$B$2)</f>
        <v>4275576</v>
      </c>
      <c r="O19" s="22">
        <f>('Office 365 vs OVS'!$E$5+O18)*(1+Справочник!$B$2)</f>
        <v>3133776</v>
      </c>
      <c r="P19" s="22">
        <f>(P18+'Office 365 vs OVS'!$C$41)*(1+Справочник!$B$2)</f>
        <v>3319200</v>
      </c>
      <c r="Q19" s="22">
        <f>FV(Справочник!$B$3,$H19*12,-'Office 365 vs OVS'!$C$42,0,0)</f>
        <v>3319200</v>
      </c>
    </row>
    <row r="20" spans="8:17" x14ac:dyDescent="0.25">
      <c r="H20" s="19">
        <v>4</v>
      </c>
      <c r="I20" s="85">
        <f>I19*(1+Справочник!$B$2)</f>
        <v>4757600</v>
      </c>
      <c r="J20" s="22">
        <f>($J19+$K20)*(1+Справочник!$B$2)</f>
        <v>4757600</v>
      </c>
      <c r="K20" s="45">
        <f t="shared" si="0"/>
        <v>0</v>
      </c>
      <c r="L20" s="22">
        <f>($L19+M20)*(1+Справочник!$B$2)</f>
        <v>4406400</v>
      </c>
      <c r="M20" s="22">
        <f t="shared" si="1"/>
        <v>2203200</v>
      </c>
      <c r="N20" s="84">
        <f>('Office 365 vs OV'!$E$31+N19)*(1+Справочник!$B$2)</f>
        <v>4938434</v>
      </c>
      <c r="O20" s="22">
        <f>('Office 365 vs OVS'!$E$5+O19)*(1+Справочник!$B$2)</f>
        <v>4178368</v>
      </c>
      <c r="P20" s="22">
        <f>(P19+'Office 365 vs OVS'!$C$41)*(1+Справочник!$B$2)</f>
        <v>4425600</v>
      </c>
      <c r="Q20" s="22">
        <f>FV(Справочник!$B$3,$H20*12,-'Office 365 vs OVS'!$C$42,0,0)</f>
        <v>4425600</v>
      </c>
    </row>
    <row r="21" spans="8:17" x14ac:dyDescent="0.25">
      <c r="H21" s="19">
        <v>5</v>
      </c>
      <c r="I21" s="85">
        <f>($E$7+I20)*(1+Справочник!$B$2)</f>
        <v>6034800</v>
      </c>
      <c r="J21" s="22">
        <f>($J20+$K21)*(1+Справочник!$B$2)</f>
        <v>6034800</v>
      </c>
      <c r="K21" s="45">
        <f t="shared" si="0"/>
        <v>1277200</v>
      </c>
      <c r="L21" s="22">
        <f>($L20+M21)*(1+Справочник!$B$2)</f>
        <v>4406400</v>
      </c>
      <c r="M21" s="22">
        <f t="shared" si="1"/>
        <v>0</v>
      </c>
      <c r="N21" s="84">
        <f>('Office 365 vs OV'!$E$31+N20)*(1+Справочник!$B$2)</f>
        <v>5601292</v>
      </c>
      <c r="O21" s="22">
        <f>('Office 365 vs OVS'!$E$5+O20)*(1+Справочник!$B$2)</f>
        <v>5222960</v>
      </c>
      <c r="P21" s="22">
        <f>(P20+'Office 365 vs OVS'!$C$41)*(1+Справочник!$B$2)</f>
        <v>5532000</v>
      </c>
      <c r="Q21" s="22">
        <f>FV(Справочник!$B$3,$H21*12,-'Office 365 vs OVS'!$C$42,0,0)</f>
        <v>5532000</v>
      </c>
    </row>
    <row r="22" spans="8:17" x14ac:dyDescent="0.25">
      <c r="H22" s="19">
        <v>6</v>
      </c>
      <c r="I22" s="85">
        <f>I21*(1+Справочник!$B$2)</f>
        <v>6034800</v>
      </c>
      <c r="J22" s="22">
        <f>($J21+$K22)*(1+Справочник!$B$2)</f>
        <v>6034800</v>
      </c>
      <c r="K22" s="45">
        <f t="shared" si="0"/>
        <v>0</v>
      </c>
      <c r="L22" s="22">
        <f>($L21+M22)*(1+Справочник!$B$2)</f>
        <v>4406400</v>
      </c>
      <c r="M22" s="22">
        <f t="shared" si="1"/>
        <v>0</v>
      </c>
      <c r="N22" s="84">
        <f>('Office 365 vs OV'!$E$31+N21)*(1+Справочник!$B$2)</f>
        <v>6264150</v>
      </c>
      <c r="O22" s="22">
        <f>('Office 365 vs OVS'!$E$5+O21)*(1+Справочник!$B$2)</f>
        <v>6267552</v>
      </c>
      <c r="P22" s="22">
        <f>(P21+'Office 365 vs OVS'!$C$41)*(1+Справочник!$B$2)</f>
        <v>6638400</v>
      </c>
      <c r="Q22" s="22">
        <f>FV(Справочник!$B$3,$H22*12,-'Office 365 vs OVS'!$C$42,0,0)</f>
        <v>6638400</v>
      </c>
    </row>
    <row r="23" spans="8:17" x14ac:dyDescent="0.25">
      <c r="H23" s="19">
        <v>7</v>
      </c>
      <c r="I23" s="85">
        <f>($E$7+I22)*(1+Справочник!$B$2)</f>
        <v>7312000</v>
      </c>
      <c r="J23" s="22">
        <f>($J22+$K23)*(1+Справочник!$B$2)</f>
        <v>7312000</v>
      </c>
      <c r="K23" s="45">
        <f t="shared" si="0"/>
        <v>1277200</v>
      </c>
      <c r="L23" s="22">
        <f>($L22+M23)*(1+Справочник!$B$2)</f>
        <v>4406400</v>
      </c>
      <c r="M23" s="22">
        <f t="shared" si="1"/>
        <v>0</v>
      </c>
      <c r="N23" s="84">
        <f>('Office 365 vs OV'!$E$31+N22)*(1+Справочник!$B$2)</f>
        <v>6927008</v>
      </c>
      <c r="O23" s="22">
        <f>('Office 365 vs OVS'!$E$5+O22)*(1+Справочник!$B$2)</f>
        <v>7312144</v>
      </c>
      <c r="P23" s="22">
        <f>(P22+'Office 365 vs OVS'!$C$41)*(1+Справочник!$B$2)</f>
        <v>7744800</v>
      </c>
      <c r="Q23" s="22">
        <f>FV(Справочник!$B$3,$H23*12,-'Office 365 vs OVS'!$C$42,0,0)</f>
        <v>7744800</v>
      </c>
    </row>
    <row r="24" spans="8:17" x14ac:dyDescent="0.25">
      <c r="H24" s="19">
        <v>8</v>
      </c>
      <c r="I24" s="85">
        <f>I23*(1+Справочник!$B$2)</f>
        <v>7312000</v>
      </c>
      <c r="J24" s="22">
        <f>($J23+$K24)*(1+Справочник!$B$2)</f>
        <v>7312000</v>
      </c>
      <c r="K24" s="45">
        <f t="shared" si="0"/>
        <v>0</v>
      </c>
      <c r="L24" s="22">
        <f>($L23+M24)*(1+Справочник!$B$2)</f>
        <v>6609600</v>
      </c>
      <c r="M24" s="22">
        <f t="shared" si="1"/>
        <v>2203200</v>
      </c>
      <c r="N24" s="84">
        <f>('Office 365 vs OV'!$E$31+N23)*(1+Справочник!$B$2)</f>
        <v>7589866</v>
      </c>
      <c r="O24" s="22">
        <f>('Office 365 vs OVS'!$E$5+O23)*(1+Справочник!$B$2)</f>
        <v>8356736</v>
      </c>
      <c r="P24" s="22">
        <f>(P23+'Office 365 vs OVS'!$C$41)*(1+Справочник!$B$2)</f>
        <v>8851200</v>
      </c>
      <c r="Q24" s="22">
        <f>FV(Справочник!$B$3,$H24*12,-'Office 365 vs OVS'!$C$42,0,0)</f>
        <v>8851200</v>
      </c>
    </row>
    <row r="25" spans="8:17" x14ac:dyDescent="0.25">
      <c r="H25" s="19">
        <v>9</v>
      </c>
      <c r="I25" s="85">
        <f>($E$7+I24)*(1+Справочник!$B$2)</f>
        <v>8589200</v>
      </c>
      <c r="J25" s="22">
        <f>($J24+$K25)*(1+Справочник!$B$2)</f>
        <v>8589200</v>
      </c>
      <c r="K25" s="45">
        <f t="shared" si="0"/>
        <v>1277200</v>
      </c>
      <c r="L25" s="22">
        <f>($L24+M25)*(1+Справочник!$B$2)</f>
        <v>6609600</v>
      </c>
      <c r="M25" s="22">
        <f t="shared" si="1"/>
        <v>0</v>
      </c>
      <c r="N25" s="84">
        <f>('Office 365 vs OV'!$E$31+N24)*(1+Справочник!$B$2)</f>
        <v>8252724</v>
      </c>
      <c r="O25" s="22">
        <f>('Office 365 vs OVS'!$E$5+O24)*(1+Справочник!$B$2)</f>
        <v>9401328</v>
      </c>
      <c r="P25" s="22">
        <f>(P24+'Office 365 vs OVS'!$C$41)*(1+Справочник!$B$2)</f>
        <v>9957600</v>
      </c>
      <c r="Q25" s="22">
        <f>FV(Справочник!$B$3,$H25*12,-'Office 365 vs OVS'!$C$42,0,0)</f>
        <v>9957600</v>
      </c>
    </row>
    <row r="26" spans="8:17" x14ac:dyDescent="0.25">
      <c r="H26" s="19">
        <v>10</v>
      </c>
      <c r="I26" s="85">
        <f>I25*(1+Справочник!$B$2)</f>
        <v>8589200</v>
      </c>
      <c r="J26" s="22">
        <f>($J25+$K26)*(1+Справочник!$B$2)</f>
        <v>8589200</v>
      </c>
      <c r="K26" s="45">
        <f t="shared" si="0"/>
        <v>0</v>
      </c>
      <c r="L26" s="22">
        <f>($L25+M26)*(1+Справочник!$B$2)</f>
        <v>6609600</v>
      </c>
      <c r="M26" s="22">
        <f t="shared" si="1"/>
        <v>0</v>
      </c>
      <c r="N26" s="84">
        <f>('Office 365 vs OV'!$E$31+N25)*(1+Справочник!$B$2)</f>
        <v>8915582</v>
      </c>
      <c r="O26" s="22">
        <f>('Office 365 vs OVS'!$E$5+O25)*(1+Справочник!$B$2)</f>
        <v>10445920</v>
      </c>
      <c r="P26" s="22">
        <f>(P25+'Office 365 vs OVS'!$C$41)*(1+Справочник!$B$2)</f>
        <v>11064000</v>
      </c>
      <c r="Q26" s="22">
        <f>FV(Справочник!$B$3,$H26*12,-'Office 365 vs OVS'!$C$42,0,0)</f>
        <v>11064000</v>
      </c>
    </row>
    <row r="27" spans="8:17" x14ac:dyDescent="0.25">
      <c r="H27" s="19">
        <v>11</v>
      </c>
      <c r="I27" s="85">
        <f>($E$7+I26)*(1+Справочник!$B$2)</f>
        <v>9866400</v>
      </c>
      <c r="J27" s="22">
        <f>($J26+$K27)*(1+Справочник!$B$2)</f>
        <v>9866400</v>
      </c>
      <c r="K27" s="45">
        <f t="shared" si="0"/>
        <v>1277200</v>
      </c>
      <c r="L27" s="22">
        <f>($L26+M27)*(1+Справочник!$B$2)</f>
        <v>6609600</v>
      </c>
      <c r="M27" s="22">
        <f t="shared" si="1"/>
        <v>0</v>
      </c>
      <c r="N27" s="84">
        <f>('Office 365 vs OV'!$E$31+N26)*(1+Справочник!$B$2)</f>
        <v>9578440</v>
      </c>
      <c r="O27" s="22">
        <f>('Office 365 vs OVS'!$E$5+O26)*(1+Справочник!$B$2)</f>
        <v>11490512</v>
      </c>
      <c r="P27" s="22">
        <f>(P26+'Office 365 vs OVS'!$C$41)*(1+Справочник!$B$2)</f>
        <v>12170400</v>
      </c>
      <c r="Q27" s="22">
        <f>FV(Справочник!$B$3,$H27*12,-'Office 365 vs OVS'!$C$42,0,0)</f>
        <v>12170400</v>
      </c>
    </row>
    <row r="28" spans="8:17" x14ac:dyDescent="0.25">
      <c r="H28" s="19">
        <v>12</v>
      </c>
      <c r="I28" s="85">
        <f>I27*(1+Справочник!$B$2)</f>
        <v>9866400</v>
      </c>
      <c r="J28" s="22">
        <f>($J27+$K28)*(1+Справочник!$B$2)</f>
        <v>9866400</v>
      </c>
      <c r="K28" s="45">
        <f t="shared" si="0"/>
        <v>0</v>
      </c>
      <c r="L28" s="22">
        <f>($L27+M28)*(1+Справочник!$B$2)</f>
        <v>8812800</v>
      </c>
      <c r="M28" s="22">
        <f t="shared" si="1"/>
        <v>2203200</v>
      </c>
      <c r="N28" s="84">
        <f>('Office 365 vs OV'!$E$31+N27)*(1+Справочник!$B$2)</f>
        <v>10241298</v>
      </c>
      <c r="O28" s="22">
        <f>('Office 365 vs OVS'!$E$5+O27)*(1+Справочник!$B$2)</f>
        <v>12535104</v>
      </c>
      <c r="P28" s="22">
        <f>(P27+'Office 365 vs OVS'!$C$41)*(1+Справочник!$B$2)</f>
        <v>13276800</v>
      </c>
      <c r="Q28" s="22">
        <f>FV(Справочник!$B$3,$H28*12,-'Office 365 vs OVS'!$C$42,0,0)</f>
        <v>13276800</v>
      </c>
    </row>
    <row r="29" spans="8:17" x14ac:dyDescent="0.25">
      <c r="H29" s="19">
        <v>13</v>
      </c>
      <c r="I29" s="85">
        <f>($E$7+I28)*(1+Справочник!$B$2)</f>
        <v>11143600</v>
      </c>
      <c r="J29" s="22">
        <f>($J28+$K29)*(1+Справочник!$B$2)</f>
        <v>11143600</v>
      </c>
      <c r="K29" s="45">
        <f t="shared" si="0"/>
        <v>1277200</v>
      </c>
      <c r="L29" s="22">
        <f>($L28+M29)*(1+Справочник!$B$2)</f>
        <v>8812800</v>
      </c>
      <c r="M29" s="22">
        <f t="shared" si="1"/>
        <v>0</v>
      </c>
      <c r="N29" s="84">
        <f>('Office 365 vs OV'!$E$31+N28)*(1+Справочник!$B$2)</f>
        <v>10904156</v>
      </c>
      <c r="O29" s="22">
        <f>('Office 365 vs OVS'!$E$5+O28)*(1+Справочник!$B$2)</f>
        <v>13579696</v>
      </c>
      <c r="P29" s="22">
        <f>(P28+'Office 365 vs OVS'!$C$41)*(1+Справочник!$B$2)</f>
        <v>14383200</v>
      </c>
      <c r="Q29" s="22">
        <f>FV(Справочник!$B$3,$H29*12,-'Office 365 vs OVS'!$C$42,0,0)</f>
        <v>14383200</v>
      </c>
    </row>
    <row r="30" spans="8:17" x14ac:dyDescent="0.25">
      <c r="H30" s="19">
        <v>14</v>
      </c>
      <c r="I30" s="85">
        <f>I29*(1+Справочник!$B$2)</f>
        <v>11143600</v>
      </c>
      <c r="J30" s="22">
        <f>($J29+$K30)*(1+Справочник!$B$2)</f>
        <v>11143600</v>
      </c>
      <c r="K30" s="45">
        <f t="shared" si="0"/>
        <v>0</v>
      </c>
      <c r="L30" s="22">
        <f>($L29+M30)*(1+Справочник!$B$2)</f>
        <v>8812800</v>
      </c>
      <c r="M30" s="22">
        <f t="shared" si="1"/>
        <v>0</v>
      </c>
      <c r="N30" s="84">
        <f>('Office 365 vs OV'!$E$31+N29)*(1+Справочник!$B$2)</f>
        <v>11567014</v>
      </c>
      <c r="O30" s="22">
        <f>('Office 365 vs OVS'!$E$5+O29)*(1+Справочник!$B$2)</f>
        <v>14624288</v>
      </c>
      <c r="P30" s="22">
        <f>(P29+'Office 365 vs OVS'!$C$41)*(1+Справочник!$B$2)</f>
        <v>15489600</v>
      </c>
      <c r="Q30" s="22">
        <f>FV(Справочник!$B$3,$H30*12,-'Office 365 vs OVS'!$C$42,0,0)</f>
        <v>15489600</v>
      </c>
    </row>
    <row r="31" spans="8:17" x14ac:dyDescent="0.25">
      <c r="H31" s="19">
        <v>15</v>
      </c>
      <c r="I31" s="85">
        <f>($E$7+I30)*(1+Справочник!$B$2)</f>
        <v>12420800</v>
      </c>
      <c r="J31" s="22">
        <f>($J30+$K31)*(1+Справочник!$B$2)</f>
        <v>12420800</v>
      </c>
      <c r="K31" s="45">
        <f t="shared" si="0"/>
        <v>1277200</v>
      </c>
      <c r="L31" s="22">
        <f>($L30+M31)*(1+Справочник!$B$2)</f>
        <v>8812800</v>
      </c>
      <c r="M31" s="22">
        <f t="shared" si="1"/>
        <v>0</v>
      </c>
      <c r="N31" s="84">
        <f>('Office 365 vs OV'!$E$31+N30)*(1+Справочник!$B$2)</f>
        <v>12229872</v>
      </c>
      <c r="O31" s="22">
        <f>('Office 365 vs OVS'!$E$5+O30)*(1+Справочник!$B$2)</f>
        <v>15668880</v>
      </c>
      <c r="P31" s="22">
        <f>(P30+'Office 365 vs OVS'!$C$41)*(1+Справочник!$B$2)</f>
        <v>16596000</v>
      </c>
      <c r="Q31" s="22">
        <f>FV(Справочник!$B$3,$H31*12,-'Office 365 vs OVS'!$C$42,0,0)</f>
        <v>16596000</v>
      </c>
    </row>
  </sheetData>
  <mergeCells count="6">
    <mergeCell ref="B15:D15"/>
    <mergeCell ref="A2:E2"/>
    <mergeCell ref="B11:D11"/>
    <mergeCell ref="B12:D12"/>
    <mergeCell ref="B13:D13"/>
    <mergeCell ref="B14:D14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"/>
  <sheetViews>
    <sheetView workbookViewId="0">
      <selection activeCell="B24" sqref="B24"/>
    </sheetView>
  </sheetViews>
  <sheetFormatPr defaultRowHeight="15" x14ac:dyDescent="0.25"/>
  <cols>
    <col min="2" max="2" width="54" bestFit="1" customWidth="1"/>
    <col min="5" max="5" width="22.28515625" customWidth="1"/>
    <col min="6" max="6" width="23.5703125" bestFit="1" customWidth="1"/>
  </cols>
  <sheetData>
    <row r="1" spans="1:6" s="20" customFormat="1" ht="31.5" x14ac:dyDescent="0.25">
      <c r="A1" s="42" t="s">
        <v>93</v>
      </c>
      <c r="B1" s="44" t="s">
        <v>92</v>
      </c>
      <c r="C1" s="7">
        <f>Справочник!$B$1</f>
        <v>200</v>
      </c>
      <c r="D1" s="45"/>
      <c r="E1" s="10">
        <v>203070</v>
      </c>
      <c r="F1" s="10">
        <f>E1*(1+Справочник!$B$2)</f>
        <v>203070</v>
      </c>
    </row>
    <row r="2" spans="1:6" s="20" customFormat="1" x14ac:dyDescent="0.25">
      <c r="A2" s="42"/>
      <c r="B2" s="44" t="s">
        <v>96</v>
      </c>
      <c r="C2" s="7">
        <f>Справочник!$B$1</f>
        <v>200</v>
      </c>
      <c r="D2" s="45"/>
      <c r="E2" s="10">
        <v>36553</v>
      </c>
      <c r="F2" s="10">
        <f>E2*(1+Справочник!$B$2)</f>
        <v>36553</v>
      </c>
    </row>
    <row r="3" spans="1:6" s="20" customFormat="1" x14ac:dyDescent="0.25">
      <c r="A3" s="49"/>
      <c r="B3" s="2" t="s">
        <v>98</v>
      </c>
      <c r="C3" s="3"/>
      <c r="D3" s="11"/>
      <c r="E3" s="11">
        <f>FV(Справочник!$B$2,1,-E1,0,1)+FV(Справочник!$B$2,'Office 365 vs OV'!$C$16-1,-$E$2)</f>
        <v>276176</v>
      </c>
      <c r="F3" s="11"/>
    </row>
    <row r="5" spans="1:6" ht="21" x14ac:dyDescent="0.25">
      <c r="A5" s="4" t="s">
        <v>1</v>
      </c>
      <c r="B5" s="5" t="s">
        <v>2</v>
      </c>
      <c r="C5" s="5" t="s">
        <v>3</v>
      </c>
      <c r="D5" s="9" t="s">
        <v>4</v>
      </c>
      <c r="E5" s="9" t="s">
        <v>21</v>
      </c>
      <c r="F5" s="9" t="s">
        <v>62</v>
      </c>
    </row>
    <row r="6" spans="1:6" x14ac:dyDescent="0.25">
      <c r="A6" s="6" t="s">
        <v>76</v>
      </c>
      <c r="B6" s="8" t="s">
        <v>77</v>
      </c>
      <c r="C6" s="7">
        <f>Справочник!$B$1</f>
        <v>200</v>
      </c>
      <c r="D6" s="10">
        <v>6765.91</v>
      </c>
      <c r="E6" s="10">
        <f>C6*D6</f>
        <v>1353182</v>
      </c>
      <c r="F6" s="10">
        <f>E6*(1+Справочник!$B$2)</f>
        <v>1353182</v>
      </c>
    </row>
    <row r="7" spans="1:6" x14ac:dyDescent="0.25">
      <c r="A7" s="6"/>
      <c r="B7" s="8" t="s">
        <v>97</v>
      </c>
      <c r="C7" s="7">
        <f>Справочник!$B$1</f>
        <v>200</v>
      </c>
      <c r="D7" s="10"/>
      <c r="E7" s="10">
        <f>('Communigate Pro'!E1+'Communigate Pro'!E2*('Office 365 vs OV'!$C$16-1))/'Office 365 vs OV'!$C$16</f>
        <v>92058.666666666672</v>
      </c>
      <c r="F7" s="10">
        <f>'Communigate Pro'!E3/3</f>
        <v>92058.666666666672</v>
      </c>
    </row>
    <row r="8" spans="1:6" ht="31.5" x14ac:dyDescent="0.25">
      <c r="A8" s="6" t="s">
        <v>95</v>
      </c>
      <c r="B8" s="8" t="s">
        <v>94</v>
      </c>
      <c r="C8" s="7">
        <f>Справочник!$B$1</f>
        <v>200</v>
      </c>
      <c r="D8" s="10"/>
      <c r="E8" s="10">
        <v>47960</v>
      </c>
      <c r="F8" s="10">
        <f>E8*(1+Справочник!$B$2)</f>
        <v>47960</v>
      </c>
    </row>
    <row r="9" spans="1:6" x14ac:dyDescent="0.25">
      <c r="A9" s="1"/>
      <c r="B9" s="2" t="s">
        <v>43</v>
      </c>
      <c r="C9" s="3"/>
      <c r="D9" s="11"/>
      <c r="E9" s="11">
        <f>SUM(E6:E8)</f>
        <v>1493200.6666666667</v>
      </c>
      <c r="F9" s="11">
        <f>E9*(1+'Office 365 vs OV'!$C$2)</f>
        <v>1493200.6666666667</v>
      </c>
    </row>
    <row r="10" spans="1:6" x14ac:dyDescent="0.25">
      <c r="B10" s="47" t="s">
        <v>99</v>
      </c>
      <c r="C10" s="20"/>
      <c r="D10" s="20"/>
      <c r="E10" s="48">
        <f>IF('Office 365 vs OV'!C16&lt;=3,FV(Справочник!$B$2,'Office 365 vs OV'!$C$16,-'Communigate Pro'!$E$9,0,1),FV(Справочник!$B$2,3,-'Communigate Pro'!$E$9,0,1))</f>
        <v>4479602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Справочник</vt:lpstr>
      <vt:lpstr>Office 365 vs OVS</vt:lpstr>
      <vt:lpstr>Office 365 vs OV</vt:lpstr>
      <vt:lpstr>Office 365 vs OLP</vt:lpstr>
      <vt:lpstr>Communigate Pro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Fedorov_A</dc:creator>
  <cp:lastModifiedBy>Fedorov_A</cp:lastModifiedBy>
  <dcterms:created xsi:type="dcterms:W3CDTF">2013-07-16T04:54:01Z</dcterms:created>
  <dcterms:modified xsi:type="dcterms:W3CDTF">2013-09-01T06:53:43Z</dcterms:modified>
</cp:coreProperties>
</file>