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Ridan\Documents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68" i="1"/>
  <c r="C70" i="1"/>
  <c r="C72" i="1" s="1"/>
  <c r="C73" i="1" s="1"/>
  <c r="C74" i="1" s="1"/>
  <c r="C63" i="1"/>
  <c r="F55" i="1"/>
  <c r="F54" i="1"/>
  <c r="F27" i="1" l="1"/>
  <c r="F9" i="1"/>
  <c r="F10" i="1"/>
  <c r="F11" i="1"/>
  <c r="F12" i="1"/>
  <c r="F13" i="1"/>
  <c r="F14" i="1"/>
  <c r="F8" i="1"/>
  <c r="C47" i="1" l="1"/>
  <c r="C46" i="1"/>
  <c r="D58" i="1" s="1"/>
  <c r="C3" i="1"/>
  <c r="C13" i="1"/>
  <c r="E13" i="1" s="1"/>
  <c r="C12" i="1"/>
  <c r="E12" i="1" s="1"/>
  <c r="C8" i="1"/>
  <c r="E8" i="1" s="1"/>
  <c r="C36" i="1"/>
  <c r="C33" i="1"/>
  <c r="C34" i="1" s="1"/>
  <c r="C37" i="1" s="1"/>
  <c r="E37" i="1" s="1"/>
  <c r="C30" i="1"/>
  <c r="C31" i="1" s="1"/>
  <c r="E31" i="1" s="1"/>
  <c r="E20" i="1"/>
  <c r="E21" i="1"/>
  <c r="E22" i="1"/>
  <c r="E23" i="1"/>
  <c r="E19" i="1"/>
  <c r="E9" i="1"/>
  <c r="E10" i="1"/>
  <c r="E11" i="1"/>
  <c r="E49" i="1" l="1"/>
  <c r="D59" i="1"/>
  <c r="D52" i="1"/>
  <c r="E39" i="1"/>
  <c r="E48" i="1"/>
  <c r="E26" i="1"/>
  <c r="E27" i="1" s="1"/>
  <c r="D53" i="1"/>
  <c r="E14" i="1"/>
  <c r="D60" i="1" l="1"/>
  <c r="D54" i="1"/>
  <c r="D55" i="1"/>
  <c r="D61" i="1"/>
  <c r="E41" i="1"/>
  <c r="C53" i="1" s="1"/>
  <c r="E53" i="1" s="1"/>
  <c r="C52" i="1" l="1"/>
  <c r="E52" i="1" s="1"/>
  <c r="E42" i="1"/>
  <c r="C59" i="1"/>
  <c r="E59" i="1" s="1"/>
  <c r="C58" i="1"/>
  <c r="E58" i="1" s="1"/>
  <c r="C54" i="1" l="1"/>
  <c r="E54" i="1" s="1"/>
  <c r="C61" i="1"/>
  <c r="E61" i="1" s="1"/>
  <c r="C60" i="1"/>
  <c r="E60" i="1" s="1"/>
  <c r="C55" i="1"/>
  <c r="E55" i="1" s="1"/>
</calcChain>
</file>

<file path=xl/comments1.xml><?xml version="1.0" encoding="utf-8"?>
<comments xmlns="http://schemas.openxmlformats.org/spreadsheetml/2006/main">
  <authors>
    <author>Fedorov_A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Пересчитано на год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В расчете для сокращения расходов не учитываем. Считаем, что на стол положили. :-)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Считаем, что уже есть</t>
        </r>
      </text>
    </comment>
  </commentList>
</comments>
</file>

<file path=xl/sharedStrings.xml><?xml version="1.0" encoding="utf-8"?>
<sst xmlns="http://schemas.openxmlformats.org/spreadsheetml/2006/main" count="84" uniqueCount="76">
  <si>
    <t>Спецификация OVS Office Pro</t>
  </si>
  <si>
    <t>Артикул</t>
  </si>
  <si>
    <t>Наименование</t>
  </si>
  <si>
    <t>Кол-во</t>
  </si>
  <si>
    <t>Цена</t>
  </si>
  <si>
    <t>269-09648</t>
  </si>
  <si>
    <t>Office Professional Plus ALNG LicSAPk OLVS NL 1Y Enterprise</t>
  </si>
  <si>
    <t>312-03195</t>
  </si>
  <si>
    <t>Exchange Server Standard ALNG LicSAPk OLVS NL 1Y Additional Product</t>
  </si>
  <si>
    <t>5HU-00158</t>
  </si>
  <si>
    <t>Lync Server ALNG LicSAPk OLVS NL 1Y Additional Product</t>
  </si>
  <si>
    <t>H04-01506</t>
  </si>
  <si>
    <t>SharePoint Server ALNG LicSAPk OLVS NL 1Y Additional Product</t>
  </si>
  <si>
    <t>W06-00857</t>
  </si>
  <si>
    <t>Core CAL ALNG LicSAPk OLVS NL 1Y Enterprise User CAL</t>
  </si>
  <si>
    <t>Кондиционер Daikin FT25/R25</t>
  </si>
  <si>
    <t>ИБП SURT 3000VA</t>
  </si>
  <si>
    <t>NAS Netgear RNDU 6000-100PES</t>
  </si>
  <si>
    <t>Сервер (брендовый)</t>
  </si>
  <si>
    <t>Диски для NAS enterprise уровня Hitachi HUS724030ALE640</t>
  </si>
  <si>
    <t>Инфраструктурные компоненты</t>
  </si>
  <si>
    <t>Сумма, с НДС</t>
  </si>
  <si>
    <t>Стоимость электроэнергии, 1 кВт/ч</t>
  </si>
  <si>
    <t>Затраты электроэнергии в год, кВт/ч</t>
  </si>
  <si>
    <t>Суммарное энергопотребление серверов и кондиционера, кВт/ч</t>
  </si>
  <si>
    <t>Процент времени затрачиваемый на сопровождение серверов</t>
  </si>
  <si>
    <t>Аренда помещения для размещения серверов, руб.</t>
  </si>
  <si>
    <t>Рабочих дней в месяце, дней</t>
  </si>
  <si>
    <t>Зарплата сисадмина, руб./мес</t>
  </si>
  <si>
    <t>Процент времени затрачиваемый на сопровождение серверов, дней в мес</t>
  </si>
  <si>
    <t>Полные затраты компании по содержанию специалиста в год, руб.</t>
  </si>
  <si>
    <t>Средний срок эксплуатации оборудования, лет.</t>
  </si>
  <si>
    <t>Количество сотрудников, человек</t>
  </si>
  <si>
    <t>Итого, руб.:</t>
  </si>
  <si>
    <t>Стоимость привлечения финансов, %</t>
  </si>
  <si>
    <t>Стоимость привлечения финансов в месяц, %</t>
  </si>
  <si>
    <t>Традиционное лицензирование</t>
  </si>
  <si>
    <t>"Облачная" подписка</t>
  </si>
  <si>
    <t>Стоимость подписки Office 365 M1 на человека (у продавцов ПО), руб. в месяц</t>
  </si>
  <si>
    <t>Стоимость подписки Office 365 M1 на человека (у операторов связи), руб. в месяц</t>
  </si>
  <si>
    <t>NNOBWZF0-BI1ED</t>
  </si>
  <si>
    <t>Kaspersky Security для почтовых серверов Russian Edition. 150-249 User 2 year Base License</t>
  </si>
  <si>
    <t>Оплата услуг сисадмина на сопровождение серверов в год, руб.</t>
  </si>
  <si>
    <t>Итого, руб. в год:</t>
  </si>
  <si>
    <t>Итого за год, руб.:</t>
  </si>
  <si>
    <t>Итого за год, руб:</t>
  </si>
  <si>
    <t>Итого затраты за год, учитывая стоимость денег, руб.:</t>
  </si>
  <si>
    <t>Итого за год у продавцов ПО, руб.</t>
  </si>
  <si>
    <t>Итого за месяц у операторов связи, руб.</t>
  </si>
  <si>
    <t>Итого за год у продавцов ПО с учетом будущей стоимости денег, руб.</t>
  </si>
  <si>
    <t>Итого за год у операторов связи с учетом будущей стоимости денег, руб.</t>
  </si>
  <si>
    <t xml:space="preserve">Годовая экономия при подписке на Office 365 у продавцов ПО, руб. </t>
  </si>
  <si>
    <t>Годовая экономия при подписке на Office 365 у операторов связи, руб.</t>
  </si>
  <si>
    <t>Годовая экономия при подписке на Office 365 у продавцов ПО с учетом будущей стоимости денег, руб.</t>
  </si>
  <si>
    <t>Годовая экономия при подписке на Office 365 у операторов связи с учетом будущей стоимости денег, руб.</t>
  </si>
  <si>
    <t>"Облачная" экономия</t>
  </si>
  <si>
    <t>Серверная стока/шкаф</t>
  </si>
  <si>
    <t>Коммутатор уровня ядра</t>
  </si>
  <si>
    <t>Годовая экономия при подписке на Office 365 у продавцов ПО, руб. на человека</t>
  </si>
  <si>
    <t>Годовая экономия при подписке на Office 365 у операторов связи, руб. на человека</t>
  </si>
  <si>
    <t>Годовая экономия при подписке на Office 365 у продавцов ПО с учетом будущей стоимости денег, руб. на человека</t>
  </si>
  <si>
    <t>Годовая экономия при подписке на Office 365 у операторов связи с учетом будущей стоимости денег, руб. на человека</t>
  </si>
  <si>
    <t>Сумма с НДС с учетом будущей стоимости денег</t>
  </si>
  <si>
    <t>Увеличение полосы пропускания канала связи в год, руб.</t>
  </si>
  <si>
    <t>Замена сетевобоорудования для обеспечен баланировки каналоов</t>
  </si>
  <si>
    <t>Лицензии на ПО для резервого копирования из "облака"</t>
  </si>
  <si>
    <t>Скорость канала, Мб/c</t>
  </si>
  <si>
    <t>Объем локальных почтовых ящиков, МБ</t>
  </si>
  <si>
    <t>Скорость канала, МБ/c</t>
  </si>
  <si>
    <t>Время на передачу данных, часов</t>
  </si>
  <si>
    <t>Время на передачу данных, дней</t>
  </si>
  <si>
    <t>Реальная скорость в канале с учетом накладных расходов, МБ/c</t>
  </si>
  <si>
    <t>Эффективность передачи, %</t>
  </si>
  <si>
    <t>Время на переачу данных в "облако"</t>
  </si>
  <si>
    <t>Время на передачу данных при передаче во внерабочее время, дней</t>
  </si>
  <si>
    <t>Сколько времени в день доступно для передачи данных в "облако",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</si>
</sst>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\р\."/>
    <numFmt numFmtId="165" formatCode="0.0"/>
    <numFmt numFmtId="166" formatCode="0.0%"/>
    <numFmt numFmtId="167" formatCode="#,##0\ _р_.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u/>
      <sz val="10"/>
      <color indexed="12"/>
      <name val="Arial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b/>
      <sz val="8"/>
      <color rgb="FFFF000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</cellStyleXfs>
  <cellXfs count="46">
    <xf numFmtId="0" fontId="0" fillId="0" borderId="0" xfId="0"/>
    <xf numFmtId="49" fontId="5" fillId="0" borderId="1" xfId="1" applyNumberFormat="1" applyFont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right" wrapText="1"/>
      <protection locked="0"/>
    </xf>
    <xf numFmtId="1" fontId="5" fillId="2" borderId="1" xfId="1" applyNumberFormat="1" applyFont="1" applyFill="1" applyBorder="1" applyAlignment="1" applyProtection="1">
      <alignment horizont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4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1" xfId="2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  <protection locked="0"/>
    </xf>
    <xf numFmtId="49" fontId="5" fillId="0" borderId="0" xfId="1" applyNumberFormat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horizontal="right" wrapText="1"/>
      <protection locked="0"/>
    </xf>
    <xf numFmtId="1" fontId="5" fillId="0" borderId="0" xfId="1" applyNumberFormat="1" applyFont="1" applyFill="1" applyBorder="1" applyAlignment="1" applyProtection="1">
      <alignment horizontal="center" wrapText="1"/>
      <protection locked="0"/>
    </xf>
    <xf numFmtId="164" fontId="5" fillId="0" borderId="0" xfId="1" applyNumberFormat="1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0" xfId="0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10" fillId="2" borderId="1" xfId="1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wrapText="1"/>
      <protection locked="0"/>
    </xf>
    <xf numFmtId="0" fontId="6" fillId="0" borderId="0" xfId="1" applyFont="1" applyAlignment="1" applyProtection="1">
      <alignment horizont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4" fontId="2" fillId="0" borderId="0" xfId="0" applyNumberFormat="1" applyFont="1"/>
    <xf numFmtId="164" fontId="5" fillId="0" borderId="1" xfId="1" applyNumberFormat="1" applyFont="1" applyFill="1" applyBorder="1" applyAlignment="1" applyProtection="1">
      <alignment wrapText="1"/>
      <protection locked="0"/>
    </xf>
    <xf numFmtId="164" fontId="8" fillId="0" borderId="1" xfId="1" applyNumberFormat="1" applyFont="1" applyFill="1" applyBorder="1" applyAlignment="1" applyProtection="1">
      <alignment wrapText="1"/>
      <protection locked="0"/>
    </xf>
    <xf numFmtId="164" fontId="8" fillId="0" borderId="0" xfId="1" applyNumberFormat="1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1" fontId="0" fillId="0" borderId="1" xfId="0" applyNumberFormat="1" applyBorder="1"/>
    <xf numFmtId="167" fontId="0" fillId="0" borderId="1" xfId="0" applyNumberFormat="1" applyBorder="1"/>
    <xf numFmtId="9" fontId="0" fillId="0" borderId="1" xfId="0" applyNumberFormat="1" applyBorder="1"/>
    <xf numFmtId="0" fontId="0" fillId="0" borderId="0" xfId="0" applyBorder="1"/>
    <xf numFmtId="164" fontId="5" fillId="0" borderId="2" xfId="1" applyNumberFormat="1" applyFont="1" applyFill="1" applyBorder="1" applyAlignment="1" applyProtection="1">
      <alignment horizontal="center"/>
      <protection locked="0"/>
    </xf>
  </cellXfs>
  <cellStyles count="5">
    <cellStyle name="Гиперссылка" xfId="2" builtinId="8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rket.yandex.ru/model.xml?modelid=7956418&amp;hid=91033" TargetMode="External"/><Relationship Id="rId1" Type="http://schemas.openxmlformats.org/officeDocument/2006/relationships/hyperlink" Target="http://market.yandex.ru/model.xml?modelid=7689462&amp;hid=91033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6"/>
  <sheetViews>
    <sheetView tabSelected="1" topLeftCell="A49" zoomScaleNormal="100" workbookViewId="0">
      <selection activeCell="C63" sqref="C63"/>
    </sheetView>
  </sheetViews>
  <sheetFormatPr defaultRowHeight="15" x14ac:dyDescent="0.25"/>
  <cols>
    <col min="1" max="1" width="10.42578125" customWidth="1"/>
    <col min="2" max="2" width="92.28515625" customWidth="1"/>
    <col min="3" max="3" width="16.5703125" bestFit="1" customWidth="1"/>
    <col min="4" max="4" width="14.85546875" customWidth="1"/>
    <col min="5" max="5" width="14.28515625" customWidth="1"/>
    <col min="6" max="6" width="15.28515625" bestFit="1" customWidth="1"/>
  </cols>
  <sheetData>
    <row r="1" spans="1:6" s="20" customFormat="1" x14ac:dyDescent="0.25">
      <c r="B1" s="31" t="s">
        <v>32</v>
      </c>
      <c r="C1" s="31">
        <v>200</v>
      </c>
    </row>
    <row r="2" spans="1:6" s="20" customFormat="1" x14ac:dyDescent="0.25">
      <c r="B2" s="14" t="s">
        <v>34</v>
      </c>
      <c r="C2" s="30">
        <v>0.18</v>
      </c>
    </row>
    <row r="3" spans="1:6" s="20" customFormat="1" x14ac:dyDescent="0.25">
      <c r="B3" s="12" t="s">
        <v>35</v>
      </c>
      <c r="C3" s="29">
        <f>C2/12</f>
        <v>1.4999999999999999E-2</v>
      </c>
    </row>
    <row r="4" spans="1:6" s="20" customFormat="1" x14ac:dyDescent="0.25"/>
    <row r="5" spans="1:6" x14ac:dyDescent="0.25">
      <c r="A5" s="32" t="s">
        <v>0</v>
      </c>
      <c r="B5" s="33"/>
      <c r="C5" s="33"/>
      <c r="D5" s="33"/>
      <c r="E5" s="33"/>
    </row>
    <row r="7" spans="1:6" ht="31.5" x14ac:dyDescent="0.25">
      <c r="A7" s="4" t="s">
        <v>1</v>
      </c>
      <c r="B7" s="5" t="s">
        <v>2</v>
      </c>
      <c r="C7" s="5" t="s">
        <v>3</v>
      </c>
      <c r="D7" s="9" t="s">
        <v>4</v>
      </c>
      <c r="E7" s="9" t="s">
        <v>21</v>
      </c>
      <c r="F7" s="9" t="s">
        <v>62</v>
      </c>
    </row>
    <row r="8" spans="1:6" ht="32.25" customHeight="1" x14ac:dyDescent="0.25">
      <c r="A8" s="6" t="s">
        <v>5</v>
      </c>
      <c r="B8" s="8" t="s">
        <v>6</v>
      </c>
      <c r="C8" s="7">
        <f>C1</f>
        <v>200</v>
      </c>
      <c r="D8" s="10">
        <v>5222.96</v>
      </c>
      <c r="E8" s="10">
        <f>C8*D8</f>
        <v>1044592</v>
      </c>
      <c r="F8" s="10">
        <f>E8*(1+$C$2)</f>
        <v>1232618.5599999998</v>
      </c>
    </row>
    <row r="9" spans="1:6" x14ac:dyDescent="0.25">
      <c r="A9" s="6" t="s">
        <v>7</v>
      </c>
      <c r="B9" s="8" t="s">
        <v>8</v>
      </c>
      <c r="C9" s="7">
        <v>1</v>
      </c>
      <c r="D9" s="10">
        <v>8563.2800000000007</v>
      </c>
      <c r="E9" s="10">
        <f t="shared" ref="E9:E12" si="0">C9*D9</f>
        <v>8563.2800000000007</v>
      </c>
      <c r="F9" s="10">
        <f t="shared" ref="F9:F14" si="1">E9*(1+$C$2)</f>
        <v>10104.670400000001</v>
      </c>
    </row>
    <row r="10" spans="1:6" x14ac:dyDescent="0.25">
      <c r="A10" s="6" t="s">
        <v>9</v>
      </c>
      <c r="B10" s="8" t="s">
        <v>10</v>
      </c>
      <c r="C10" s="7">
        <v>1</v>
      </c>
      <c r="D10" s="10">
        <v>44104.5</v>
      </c>
      <c r="E10" s="10">
        <f t="shared" si="0"/>
        <v>44104.5</v>
      </c>
      <c r="F10" s="10">
        <f t="shared" si="1"/>
        <v>52043.31</v>
      </c>
    </row>
    <row r="11" spans="1:6" x14ac:dyDescent="0.25">
      <c r="A11" s="6" t="s">
        <v>11</v>
      </c>
      <c r="B11" s="8" t="s">
        <v>12</v>
      </c>
      <c r="C11" s="7">
        <v>1</v>
      </c>
      <c r="D11" s="10">
        <v>82244.2</v>
      </c>
      <c r="E11" s="10">
        <f t="shared" si="0"/>
        <v>82244.2</v>
      </c>
      <c r="F11" s="10">
        <f t="shared" si="1"/>
        <v>97048.155999999988</v>
      </c>
    </row>
    <row r="12" spans="1:6" x14ac:dyDescent="0.25">
      <c r="A12" s="6" t="s">
        <v>13</v>
      </c>
      <c r="B12" s="8" t="s">
        <v>14</v>
      </c>
      <c r="C12" s="7">
        <f>C1</f>
        <v>200</v>
      </c>
      <c r="D12" s="10">
        <v>2303.38</v>
      </c>
      <c r="E12" s="10">
        <f t="shared" si="0"/>
        <v>460676</v>
      </c>
      <c r="F12" s="10">
        <f t="shared" si="1"/>
        <v>543597.67999999993</v>
      </c>
    </row>
    <row r="13" spans="1:6" ht="21" x14ac:dyDescent="0.25">
      <c r="A13" s="6" t="s">
        <v>40</v>
      </c>
      <c r="B13" s="8" t="s">
        <v>41</v>
      </c>
      <c r="C13" s="7">
        <f>C1</f>
        <v>200</v>
      </c>
      <c r="D13" s="10">
        <v>912</v>
      </c>
      <c r="E13" s="10">
        <f>C13*D13/2</f>
        <v>91200</v>
      </c>
      <c r="F13" s="10">
        <f t="shared" si="1"/>
        <v>107616</v>
      </c>
    </row>
    <row r="14" spans="1:6" x14ac:dyDescent="0.25">
      <c r="A14" s="1"/>
      <c r="B14" s="2" t="s">
        <v>43</v>
      </c>
      <c r="C14" s="3"/>
      <c r="D14" s="11"/>
      <c r="E14" s="11">
        <f>SUM(E8:E13)</f>
        <v>1731379.98</v>
      </c>
      <c r="F14" s="11">
        <f t="shared" si="1"/>
        <v>2043028.3764</v>
      </c>
    </row>
    <row r="15" spans="1:6" x14ac:dyDescent="0.25">
      <c r="A15" s="15"/>
      <c r="B15" s="16"/>
      <c r="C15" s="17"/>
      <c r="D15" s="18"/>
      <c r="E15" s="18"/>
    </row>
    <row r="16" spans="1:6" x14ac:dyDescent="0.25">
      <c r="A16" s="34" t="s">
        <v>20</v>
      </c>
      <c r="B16" s="35"/>
      <c r="C16" s="35"/>
      <c r="D16" s="35"/>
      <c r="E16" s="35"/>
    </row>
    <row r="17" spans="1:6" s="20" customFormat="1" x14ac:dyDescent="0.25">
      <c r="A17" s="5"/>
      <c r="B17" s="8" t="s">
        <v>31</v>
      </c>
      <c r="C17" s="23">
        <v>5</v>
      </c>
      <c r="D17" s="23"/>
      <c r="E17" s="23"/>
    </row>
    <row r="18" spans="1:6" ht="31.5" x14ac:dyDescent="0.25">
      <c r="A18" s="5"/>
      <c r="B18" s="5"/>
      <c r="C18" s="9" t="s">
        <v>3</v>
      </c>
      <c r="D18" s="9" t="s">
        <v>4</v>
      </c>
      <c r="E18" s="9" t="s">
        <v>21</v>
      </c>
      <c r="F18" s="9" t="s">
        <v>62</v>
      </c>
    </row>
    <row r="19" spans="1:6" x14ac:dyDescent="0.25">
      <c r="A19" s="6"/>
      <c r="B19" s="8" t="s">
        <v>18</v>
      </c>
      <c r="C19" s="7">
        <v>2</v>
      </c>
      <c r="D19" s="10">
        <v>300000</v>
      </c>
      <c r="E19" s="10">
        <f>D19*C19</f>
        <v>600000</v>
      </c>
      <c r="F19" s="10"/>
    </row>
    <row r="20" spans="1:6" x14ac:dyDescent="0.25">
      <c r="A20" s="6"/>
      <c r="B20" s="8" t="s">
        <v>15</v>
      </c>
      <c r="C20" s="7">
        <v>2</v>
      </c>
      <c r="D20" s="10">
        <v>50000</v>
      </c>
      <c r="E20" s="10">
        <f t="shared" ref="E20:E23" si="2">D20*C20</f>
        <v>100000</v>
      </c>
      <c r="F20" s="10"/>
    </row>
    <row r="21" spans="1:6" x14ac:dyDescent="0.25">
      <c r="A21" s="6"/>
      <c r="B21" s="8" t="s">
        <v>16</v>
      </c>
      <c r="C21" s="7">
        <v>1</v>
      </c>
      <c r="D21" s="10">
        <v>70000</v>
      </c>
      <c r="E21" s="10">
        <f t="shared" si="2"/>
        <v>70000</v>
      </c>
      <c r="F21" s="10"/>
    </row>
    <row r="22" spans="1:6" x14ac:dyDescent="0.25">
      <c r="A22" s="6"/>
      <c r="B22" s="13" t="s">
        <v>17</v>
      </c>
      <c r="C22" s="7">
        <v>1</v>
      </c>
      <c r="D22" s="10">
        <v>31000</v>
      </c>
      <c r="E22" s="10">
        <f t="shared" si="2"/>
        <v>31000</v>
      </c>
      <c r="F22" s="10"/>
    </row>
    <row r="23" spans="1:6" x14ac:dyDescent="0.25">
      <c r="A23" s="6"/>
      <c r="B23" s="13" t="s">
        <v>19</v>
      </c>
      <c r="C23" s="7">
        <v>3</v>
      </c>
      <c r="D23" s="10">
        <v>7000</v>
      </c>
      <c r="E23" s="10">
        <f t="shared" si="2"/>
        <v>21000</v>
      </c>
      <c r="F23" s="10"/>
    </row>
    <row r="24" spans="1:6" s="20" customFormat="1" x14ac:dyDescent="0.25">
      <c r="A24" s="6"/>
      <c r="B24" s="8" t="s">
        <v>56</v>
      </c>
      <c r="C24" s="7">
        <v>1</v>
      </c>
      <c r="D24" s="10">
        <v>0</v>
      </c>
      <c r="E24" s="10">
        <v>0</v>
      </c>
      <c r="F24" s="10"/>
    </row>
    <row r="25" spans="1:6" s="20" customFormat="1" x14ac:dyDescent="0.25">
      <c r="A25" s="6"/>
      <c r="B25" s="8" t="s">
        <v>57</v>
      </c>
      <c r="C25" s="7">
        <v>2</v>
      </c>
      <c r="D25" s="10">
        <v>0</v>
      </c>
      <c r="E25" s="10">
        <v>0</v>
      </c>
      <c r="F25" s="10"/>
    </row>
    <row r="26" spans="1:6" x14ac:dyDescent="0.25">
      <c r="A26" s="1"/>
      <c r="B26" s="2" t="s">
        <v>33</v>
      </c>
      <c r="C26" s="3"/>
      <c r="D26" s="11"/>
      <c r="E26" s="11">
        <f>SUM(E19:E24)</f>
        <v>822000</v>
      </c>
      <c r="F26" s="11"/>
    </row>
    <row r="27" spans="1:6" x14ac:dyDescent="0.25">
      <c r="A27" s="1"/>
      <c r="B27" s="2" t="s">
        <v>44</v>
      </c>
      <c r="C27" s="3"/>
      <c r="D27" s="11"/>
      <c r="E27" s="11">
        <f>E26/C17</f>
        <v>164400</v>
      </c>
      <c r="F27" s="11">
        <f t="shared" ref="F27" si="3">E27*(1+$C$2)</f>
        <v>193992</v>
      </c>
    </row>
    <row r="28" spans="1:6" s="20" customFormat="1" x14ac:dyDescent="0.25"/>
    <row r="29" spans="1:6" x14ac:dyDescent="0.25">
      <c r="A29" s="8"/>
      <c r="B29" s="28" t="s">
        <v>22</v>
      </c>
      <c r="C29" s="9">
        <v>3.82</v>
      </c>
      <c r="D29" s="8"/>
      <c r="E29" s="8"/>
    </row>
    <row r="30" spans="1:6" s="20" customFormat="1" x14ac:dyDescent="0.25">
      <c r="A30" s="8"/>
      <c r="B30" s="8" t="s">
        <v>24</v>
      </c>
      <c r="C30" s="7">
        <f>2*0.5*(1+30%)</f>
        <v>1.3</v>
      </c>
      <c r="D30" s="8"/>
      <c r="E30" s="8"/>
    </row>
    <row r="31" spans="1:6" x14ac:dyDescent="0.25">
      <c r="A31" s="8"/>
      <c r="B31" s="8" t="s">
        <v>23</v>
      </c>
      <c r="C31" s="7">
        <f>C30*24*365</f>
        <v>11388.000000000002</v>
      </c>
      <c r="D31" s="8"/>
      <c r="E31" s="10">
        <f>C31*C29</f>
        <v>43502.16</v>
      </c>
    </row>
    <row r="32" spans="1:6" s="20" customFormat="1" x14ac:dyDescent="0.25">
      <c r="A32" s="8"/>
      <c r="B32" s="8" t="s">
        <v>27</v>
      </c>
      <c r="C32" s="7">
        <v>22</v>
      </c>
      <c r="D32" s="8"/>
      <c r="E32" s="10"/>
    </row>
    <row r="33" spans="1:5" x14ac:dyDescent="0.25">
      <c r="A33" s="8"/>
      <c r="B33" s="28" t="s">
        <v>28</v>
      </c>
      <c r="C33" s="9">
        <f>50000</f>
        <v>50000</v>
      </c>
      <c r="D33" s="19"/>
      <c r="E33" s="19"/>
    </row>
    <row r="34" spans="1:5" s="20" customFormat="1" x14ac:dyDescent="0.25">
      <c r="A34" s="8"/>
      <c r="B34" s="8" t="s">
        <v>30</v>
      </c>
      <c r="C34" s="10">
        <f>(1+IF(C33*12&lt;=568000,30%,10%))*C33*12</f>
        <v>660000.00000000012</v>
      </c>
      <c r="D34" s="19"/>
      <c r="E34" s="19"/>
    </row>
    <row r="35" spans="1:5" s="20" customFormat="1" x14ac:dyDescent="0.25">
      <c r="A35" s="8"/>
      <c r="B35" s="28" t="s">
        <v>25</v>
      </c>
      <c r="C35" s="27">
        <v>0.1</v>
      </c>
      <c r="D35" s="19"/>
      <c r="E35" s="19"/>
    </row>
    <row r="36" spans="1:5" x14ac:dyDescent="0.25">
      <c r="A36" s="8"/>
      <c r="B36" s="8" t="s">
        <v>29</v>
      </c>
      <c r="C36" s="21">
        <f>C32*C35</f>
        <v>2.2000000000000002</v>
      </c>
      <c r="D36" s="19"/>
      <c r="E36" s="19"/>
    </row>
    <row r="37" spans="1:5" s="20" customFormat="1" x14ac:dyDescent="0.25">
      <c r="A37" s="8"/>
      <c r="B37" s="8" t="s">
        <v>42</v>
      </c>
      <c r="C37" s="10">
        <f>C34*C35</f>
        <v>66000.000000000015</v>
      </c>
      <c r="D37" s="19"/>
      <c r="E37" s="22">
        <f>C37</f>
        <v>66000.000000000015</v>
      </c>
    </row>
    <row r="38" spans="1:5" x14ac:dyDescent="0.25">
      <c r="A38" s="8"/>
      <c r="B38" s="8" t="s">
        <v>26</v>
      </c>
      <c r="C38" s="19">
        <v>0</v>
      </c>
      <c r="D38" s="19"/>
      <c r="E38" s="19"/>
    </row>
    <row r="39" spans="1:5" x14ac:dyDescent="0.25">
      <c r="A39" s="1"/>
      <c r="B39" s="2" t="s">
        <v>44</v>
      </c>
      <c r="C39" s="3"/>
      <c r="D39" s="11"/>
      <c r="E39" s="11">
        <f>SUM(E29:E38)</f>
        <v>109502.16000000002</v>
      </c>
    </row>
    <row r="41" spans="1:5" x14ac:dyDescent="0.25">
      <c r="A41" s="1"/>
      <c r="B41" s="2" t="s">
        <v>45</v>
      </c>
      <c r="C41" s="3"/>
      <c r="D41" s="11"/>
      <c r="E41" s="11">
        <f>E14+E27+E39</f>
        <v>2005282.14</v>
      </c>
    </row>
    <row r="42" spans="1:5" x14ac:dyDescent="0.25">
      <c r="A42" s="11"/>
      <c r="B42" s="11" t="s">
        <v>46</v>
      </c>
      <c r="C42" s="11"/>
      <c r="D42" s="11"/>
      <c r="E42" s="11">
        <f>E41*(1+C2)</f>
        <v>2366232.9251999999</v>
      </c>
    </row>
    <row r="44" spans="1:5" x14ac:dyDescent="0.25">
      <c r="A44" s="19"/>
      <c r="B44" s="28" t="s">
        <v>38</v>
      </c>
      <c r="C44" s="9">
        <v>461</v>
      </c>
      <c r="D44" s="19"/>
      <c r="E44" s="19"/>
    </row>
    <row r="45" spans="1:5" x14ac:dyDescent="0.25">
      <c r="A45" s="19"/>
      <c r="B45" s="28" t="s">
        <v>39</v>
      </c>
      <c r="C45" s="9">
        <v>472.6</v>
      </c>
      <c r="D45" s="19"/>
      <c r="E45" s="19"/>
    </row>
    <row r="46" spans="1:5" s="20" customFormat="1" x14ac:dyDescent="0.25">
      <c r="A46" s="19"/>
      <c r="B46" s="8" t="s">
        <v>47</v>
      </c>
      <c r="C46" s="10">
        <f>$C$1*12*C44</f>
        <v>1106400</v>
      </c>
      <c r="D46" s="19"/>
      <c r="E46" s="19"/>
    </row>
    <row r="47" spans="1:5" s="20" customFormat="1" x14ac:dyDescent="0.25">
      <c r="A47" s="19"/>
      <c r="B47" s="8" t="s">
        <v>48</v>
      </c>
      <c r="C47" s="10">
        <f>$C$1*C45</f>
        <v>94520</v>
      </c>
      <c r="D47" s="19"/>
      <c r="E47" s="19"/>
    </row>
    <row r="48" spans="1:5" x14ac:dyDescent="0.25">
      <c r="A48" s="11"/>
      <c r="B48" s="11" t="s">
        <v>49</v>
      </c>
      <c r="C48" s="11"/>
      <c r="D48" s="11"/>
      <c r="E48" s="11">
        <f>C46*(1+C2)</f>
        <v>1305552</v>
      </c>
    </row>
    <row r="49" spans="1:6" x14ac:dyDescent="0.25">
      <c r="A49" s="11"/>
      <c r="B49" s="11" t="s">
        <v>50</v>
      </c>
      <c r="C49" s="11"/>
      <c r="D49" s="11"/>
      <c r="E49" s="11">
        <f>FV(C3,12,-C47)</f>
        <v>1232655.304436275</v>
      </c>
    </row>
    <row r="51" spans="1:6" s="20" customFormat="1" ht="30" x14ac:dyDescent="0.25">
      <c r="A51" s="19"/>
      <c r="B51" s="25"/>
      <c r="C51" s="26" t="s">
        <v>36</v>
      </c>
      <c r="D51" s="26" t="s">
        <v>37</v>
      </c>
      <c r="E51" s="26" t="s">
        <v>55</v>
      </c>
    </row>
    <row r="52" spans="1:6" s="20" customFormat="1" x14ac:dyDescent="0.25">
      <c r="A52" s="11"/>
      <c r="B52" s="11" t="s">
        <v>51</v>
      </c>
      <c r="C52" s="11">
        <f>$E$41</f>
        <v>2005282.14</v>
      </c>
      <c r="D52" s="11">
        <f>$C$46</f>
        <v>1106400</v>
      </c>
      <c r="E52" s="24">
        <f>C52-D52</f>
        <v>898882.1399999999</v>
      </c>
    </row>
    <row r="53" spans="1:6" s="20" customFormat="1" x14ac:dyDescent="0.25">
      <c r="A53" s="11"/>
      <c r="B53" s="11" t="s">
        <v>52</v>
      </c>
      <c r="C53" s="11">
        <f>$E$41</f>
        <v>2005282.14</v>
      </c>
      <c r="D53" s="11">
        <f>$C$47*12</f>
        <v>1134240</v>
      </c>
      <c r="E53" s="24">
        <f>C53-D53</f>
        <v>871042.1399999999</v>
      </c>
    </row>
    <row r="54" spans="1:6" x14ac:dyDescent="0.25">
      <c r="A54" s="11"/>
      <c r="B54" s="11" t="s">
        <v>53</v>
      </c>
      <c r="C54" s="11">
        <f>$E$42</f>
        <v>2366232.9251999999</v>
      </c>
      <c r="D54" s="11">
        <f>$E$48</f>
        <v>1305552</v>
      </c>
      <c r="E54" s="24">
        <f>C54-D54</f>
        <v>1060680.9251999999</v>
      </c>
      <c r="F54" s="36">
        <f>D54-$F$8</f>
        <v>72933.440000000177</v>
      </c>
    </row>
    <row r="55" spans="1:6" ht="14.25" customHeight="1" x14ac:dyDescent="0.25">
      <c r="A55" s="11"/>
      <c r="B55" s="11" t="s">
        <v>54</v>
      </c>
      <c r="C55" s="11">
        <f>$E$42</f>
        <v>2366232.9251999999</v>
      </c>
      <c r="D55" s="11">
        <f>$E$49</f>
        <v>1232655.304436275</v>
      </c>
      <c r="E55" s="24">
        <f>C55-D55</f>
        <v>1133577.6207637249</v>
      </c>
      <c r="F55" s="36">
        <f>D55-$F$8</f>
        <v>36.744436275213957</v>
      </c>
    </row>
    <row r="57" spans="1:6" ht="30" x14ac:dyDescent="0.25">
      <c r="A57" s="19"/>
      <c r="B57" s="25"/>
      <c r="C57" s="26" t="s">
        <v>36</v>
      </c>
      <c r="D57" s="26" t="s">
        <v>37</v>
      </c>
      <c r="E57" s="26" t="s">
        <v>55</v>
      </c>
    </row>
    <row r="58" spans="1:6" x14ac:dyDescent="0.25">
      <c r="A58" s="11"/>
      <c r="B58" s="11" t="s">
        <v>58</v>
      </c>
      <c r="C58" s="11">
        <f>$E$41/$C$1</f>
        <v>10026.4107</v>
      </c>
      <c r="D58" s="11">
        <f>$C$46/$C$1</f>
        <v>5532</v>
      </c>
      <c r="E58" s="24">
        <f>C58-D58</f>
        <v>4494.4107000000004</v>
      </c>
    </row>
    <row r="59" spans="1:6" x14ac:dyDescent="0.25">
      <c r="A59" s="11"/>
      <c r="B59" s="11" t="s">
        <v>59</v>
      </c>
      <c r="C59" s="11">
        <f>$E$41/$C$1</f>
        <v>10026.4107</v>
      </c>
      <c r="D59" s="11">
        <f>$C$47*12/$C$1</f>
        <v>5671.2</v>
      </c>
      <c r="E59" s="24">
        <f>C59-D59</f>
        <v>4355.2107000000005</v>
      </c>
    </row>
    <row r="60" spans="1:6" ht="22.5" x14ac:dyDescent="0.25">
      <c r="A60" s="11"/>
      <c r="B60" s="11" t="s">
        <v>60</v>
      </c>
      <c r="C60" s="11">
        <f>$E$42/$C$1</f>
        <v>11831.164626</v>
      </c>
      <c r="D60" s="11">
        <f>$E$48/$C$1</f>
        <v>6527.76</v>
      </c>
      <c r="E60" s="24">
        <f>C60-D60</f>
        <v>5303.4046259999996</v>
      </c>
    </row>
    <row r="61" spans="1:6" ht="22.5" x14ac:dyDescent="0.25">
      <c r="A61" s="11"/>
      <c r="B61" s="11" t="s">
        <v>61</v>
      </c>
      <c r="C61" s="11">
        <f>$E$42/$C$1</f>
        <v>11831.164626</v>
      </c>
      <c r="D61" s="11">
        <f>$E$49/$C$1</f>
        <v>6163.2765221813752</v>
      </c>
      <c r="E61" s="24">
        <f>C61-D61</f>
        <v>5667.8881038186246</v>
      </c>
    </row>
    <row r="63" spans="1:6" x14ac:dyDescent="0.25">
      <c r="A63" s="19"/>
      <c r="B63" s="38" t="s">
        <v>63</v>
      </c>
      <c r="C63" s="37">
        <f>5000*2*12</f>
        <v>120000</v>
      </c>
      <c r="D63" s="19"/>
      <c r="E63" s="19">
        <v>0</v>
      </c>
    </row>
    <row r="64" spans="1:6" x14ac:dyDescent="0.25">
      <c r="A64" s="19"/>
      <c r="B64" s="38" t="s">
        <v>64</v>
      </c>
      <c r="C64" s="19">
        <v>0</v>
      </c>
      <c r="D64" s="19"/>
      <c r="E64" s="19">
        <v>0</v>
      </c>
    </row>
    <row r="65" spans="1:5" x14ac:dyDescent="0.25">
      <c r="A65" s="19"/>
      <c r="B65" s="38" t="s">
        <v>65</v>
      </c>
      <c r="C65" s="19">
        <v>0</v>
      </c>
      <c r="D65" s="19"/>
      <c r="E65" s="19">
        <v>0</v>
      </c>
    </row>
    <row r="66" spans="1:5" s="20" customFormat="1" x14ac:dyDescent="0.25">
      <c r="A66" s="44"/>
      <c r="B66" s="39"/>
      <c r="C66" s="44"/>
      <c r="D66" s="44"/>
      <c r="E66" s="44"/>
    </row>
    <row r="67" spans="1:5" x14ac:dyDescent="0.25">
      <c r="A67" s="45" t="s">
        <v>73</v>
      </c>
      <c r="B67" s="35"/>
      <c r="C67" s="35"/>
      <c r="D67" s="35"/>
      <c r="E67" s="35"/>
    </row>
    <row r="68" spans="1:5" x14ac:dyDescent="0.25">
      <c r="A68" s="19"/>
      <c r="B68" s="38" t="s">
        <v>67</v>
      </c>
      <c r="C68" s="42">
        <f>1024*1024</f>
        <v>1048576</v>
      </c>
      <c r="D68" s="38"/>
      <c r="E68" s="19"/>
    </row>
    <row r="69" spans="1:5" x14ac:dyDescent="0.25">
      <c r="A69" s="19"/>
      <c r="B69" s="38" t="s">
        <v>66</v>
      </c>
      <c r="C69" s="19">
        <v>20</v>
      </c>
      <c r="D69" s="38"/>
      <c r="E69" s="19"/>
    </row>
    <row r="70" spans="1:5" x14ac:dyDescent="0.25">
      <c r="A70" s="19"/>
      <c r="B70" s="38" t="s">
        <v>68</v>
      </c>
      <c r="C70" s="19">
        <f>C69/8</f>
        <v>2.5</v>
      </c>
      <c r="D70" s="38"/>
      <c r="E70" s="19"/>
    </row>
    <row r="71" spans="1:5" s="20" customFormat="1" x14ac:dyDescent="0.25">
      <c r="A71" s="19"/>
      <c r="B71" s="38" t="s">
        <v>72</v>
      </c>
      <c r="C71" s="43">
        <v>0.9</v>
      </c>
      <c r="D71" s="38"/>
      <c r="E71" s="19"/>
    </row>
    <row r="72" spans="1:5" s="20" customFormat="1" x14ac:dyDescent="0.25">
      <c r="A72" s="19"/>
      <c r="B72" s="38" t="s">
        <v>71</v>
      </c>
      <c r="C72" s="19">
        <f>C70*C71</f>
        <v>2.25</v>
      </c>
      <c r="D72" s="38"/>
      <c r="E72" s="19"/>
    </row>
    <row r="73" spans="1:5" x14ac:dyDescent="0.25">
      <c r="A73" s="19"/>
      <c r="B73" s="38" t="s">
        <v>69</v>
      </c>
      <c r="C73" s="40">
        <f>C68/C72/3600</f>
        <v>129.45382716049383</v>
      </c>
      <c r="D73" s="38"/>
      <c r="E73" s="19"/>
    </row>
    <row r="74" spans="1:5" x14ac:dyDescent="0.25">
      <c r="A74" s="19"/>
      <c r="B74" s="38" t="s">
        <v>70</v>
      </c>
      <c r="C74" s="40">
        <f>C73/24</f>
        <v>5.3939094650205766</v>
      </c>
      <c r="D74" s="38"/>
      <c r="E74" s="19"/>
    </row>
    <row r="75" spans="1:5" s="20" customFormat="1" x14ac:dyDescent="0.25">
      <c r="A75" s="19"/>
      <c r="B75" s="38" t="s">
        <v>75</v>
      </c>
      <c r="C75" s="41">
        <v>14</v>
      </c>
      <c r="D75" s="38"/>
      <c r="E75" s="19"/>
    </row>
    <row r="76" spans="1:5" x14ac:dyDescent="0.25">
      <c r="A76" s="19"/>
      <c r="B76" s="38" t="s">
        <v>74</v>
      </c>
      <c r="C76" s="40">
        <f>C73/C75</f>
        <v>9.2467019400352743</v>
      </c>
      <c r="D76" s="38"/>
      <c r="E76" s="19"/>
    </row>
  </sheetData>
  <mergeCells count="3">
    <mergeCell ref="A5:E5"/>
    <mergeCell ref="A16:E16"/>
    <mergeCell ref="A67:E67"/>
  </mergeCells>
  <hyperlinks>
    <hyperlink ref="B22" r:id="rId1" display="http://market.yandex.ru/model.xml?modelid=7689462&amp;hid=91033"/>
    <hyperlink ref="B23" r:id="rId2" display="http://market.yandex.ru/model.xml?modelid=7956418&amp;hid=91033"/>
  </hyperlinks>
  <pageMargins left="0.7" right="0.7" top="0.75" bottom="0.75" header="0.3" footer="0.3"/>
  <pageSetup paperSize="9" orientation="portrait" horizontalDpi="4294967295" verticalDpi="4294967295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Fedorov_A</dc:creator>
  <cp:lastModifiedBy>Fedorov_A</cp:lastModifiedBy>
  <dcterms:created xsi:type="dcterms:W3CDTF">2013-07-16T04:54:01Z</dcterms:created>
  <dcterms:modified xsi:type="dcterms:W3CDTF">2013-07-16T10:55:01Z</dcterms:modified>
</cp:coreProperties>
</file>